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https://redhedge-my.sharepoint.com/personal/darren_redhedge_uk/Documents/excel/hybrids/"/>
    </mc:Choice>
  </mc:AlternateContent>
  <xr:revisionPtr revIDLastSave="424" documentId="8_{461ACC6D-F8AD-4636-A083-B54EBDB2F5F8}" xr6:coauthVersionLast="45" xr6:coauthVersionMax="45" xr10:uidLastSave="{4291369C-2886-4B94-A3C0-4966BE6C882F}"/>
  <bookViews>
    <workbookView xWindow="-110" yWindow="-110" windowWidth="38620" windowHeight="21220" activeTab="1" xr2:uid="{00000000-000D-0000-FFFF-FFFF00000000}"/>
  </bookViews>
  <sheets>
    <sheet name="chart" sheetId="8" r:id="rId1"/>
    <sheet name="issuerTable" sheetId="5" r:id="rId2"/>
    <sheet name="issuerOP" sheetId="6" r:id="rId3"/>
    <sheet name="sectorTable" sheetId="3" r:id="rId4"/>
    <sheet name="sectorOP" sheetId="4" r:id="rId5"/>
    <sheet name="tkrBBG" sheetId="1" r:id="rId6"/>
    <sheet name="issuers" sheetId="2" r:id="rId7"/>
    <sheet name="maturity" sheetId="7" r:id="rId8"/>
  </sheets>
  <calcPr calcId="191028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17" i="5" l="1"/>
  <c r="X3" i="5"/>
  <c r="U3" i="5"/>
  <c r="X14" i="5"/>
  <c r="W14" i="5"/>
  <c r="V14" i="5"/>
  <c r="X13" i="5"/>
  <c r="W13" i="5"/>
  <c r="V13" i="5"/>
  <c r="X12" i="5"/>
  <c r="W12" i="5"/>
  <c r="V12" i="5"/>
  <c r="X11" i="5"/>
  <c r="W11" i="5"/>
  <c r="V11" i="5"/>
  <c r="X10" i="5"/>
  <c r="W10" i="5"/>
  <c r="V10" i="5"/>
  <c r="X9" i="5"/>
  <c r="W9" i="5"/>
  <c r="V9" i="5"/>
  <c r="X8" i="5"/>
  <c r="W8" i="5"/>
  <c r="V8" i="5"/>
  <c r="X7" i="5"/>
  <c r="W7" i="5"/>
  <c r="V7" i="5"/>
  <c r="X6" i="5"/>
  <c r="W6" i="5"/>
  <c r="V6" i="5"/>
  <c r="X5" i="5"/>
  <c r="W5" i="5"/>
  <c r="V5" i="5"/>
  <c r="F2" i="5"/>
  <c r="O24" i="5" a="1"/>
  <c r="O23" i="5" a="1"/>
  <c r="O25" i="5" a="1"/>
  <c r="O26" i="5" a="1"/>
  <c r="O21" i="5" a="1"/>
  <c r="O22" i="5" a="1"/>
  <c r="O78" i="5" a="1"/>
  <c r="P75" i="5" a="1"/>
  <c r="O76" i="5" a="1"/>
  <c r="P76" i="5" a="1"/>
  <c r="P78" i="5" a="1"/>
  <c r="O75" i="5" a="1"/>
  <c r="O30" i="5" a="1"/>
  <c r="P29" i="5" a="1"/>
  <c r="P41" i="5" a="1"/>
  <c r="P30" i="5" a="1"/>
  <c r="P43" i="5" a="1"/>
  <c r="O28" i="5" a="1"/>
  <c r="P27" i="5" a="1"/>
  <c r="O29" i="5" a="1"/>
  <c r="P28" i="5" a="1"/>
  <c r="P40" i="5" a="1"/>
  <c r="O27" i="5" a="1"/>
  <c r="O43" i="5" a="1"/>
  <c r="P26" i="5" a="1"/>
  <c r="R4" i="5" a="1"/>
  <c r="Q4" i="5" a="1"/>
  <c r="M4" i="5" a="1"/>
  <c r="U8" i="5" l="1"/>
  <c r="U7" i="5"/>
  <c r="U14" i="5"/>
  <c r="U6" i="5"/>
  <c r="U13" i="5"/>
  <c r="U5" i="5"/>
  <c r="U12" i="5"/>
  <c r="U11" i="5"/>
  <c r="U10" i="5"/>
  <c r="U9" i="5"/>
  <c r="P26" i="5"/>
  <c r="O43" i="5"/>
  <c r="O27" i="5"/>
  <c r="P40" i="5"/>
  <c r="P28" i="5"/>
  <c r="O29" i="5"/>
  <c r="P27" i="5"/>
  <c r="O28" i="5"/>
  <c r="P43" i="5"/>
  <c r="P30" i="5"/>
  <c r="P41" i="5"/>
  <c r="P29" i="5"/>
  <c r="O30" i="5"/>
  <c r="O75" i="5"/>
  <c r="P78" i="5"/>
  <c r="P76" i="5"/>
  <c r="O76" i="5"/>
  <c r="P75" i="5"/>
  <c r="O78" i="5"/>
  <c r="O22" i="5"/>
  <c r="O21" i="5"/>
  <c r="O26" i="5"/>
  <c r="O25" i="5"/>
  <c r="O23" i="5"/>
  <c r="O24" i="5"/>
  <c r="N9" i="5"/>
  <c r="O9" i="5" s="1"/>
  <c r="N8" i="5"/>
  <c r="O8" i="5" s="1"/>
  <c r="N11" i="5"/>
  <c r="O11" i="5" s="1"/>
  <c r="N7" i="5"/>
  <c r="O7" i="5" s="1"/>
  <c r="N10" i="5"/>
  <c r="O10" i="5" s="1"/>
  <c r="N14" i="5"/>
  <c r="O14" i="5" s="1"/>
  <c r="N6" i="5"/>
  <c r="O6" i="5" s="1"/>
  <c r="N13" i="5"/>
  <c r="O13" i="5" s="1"/>
  <c r="N12" i="5"/>
  <c r="O12" i="5" s="1"/>
  <c r="C478" i="5" a="1"/>
  <c r="B226" i="6"/>
  <c r="B224" i="6"/>
  <c r="B223" i="6"/>
  <c r="D214" i="6"/>
  <c r="B214" i="6"/>
  <c r="B212" i="6"/>
  <c r="B211" i="6"/>
  <c r="B207" i="6"/>
  <c r="B205" i="6"/>
  <c r="B204" i="6"/>
  <c r="B201" i="6"/>
  <c r="B199" i="6"/>
  <c r="B198" i="6"/>
  <c r="B195" i="6"/>
  <c r="B193" i="6"/>
  <c r="B192" i="6"/>
  <c r="C462" i="5" a="1"/>
  <c r="C462" i="5" s="1"/>
  <c r="C446" i="5" a="1"/>
  <c r="C454" i="5" s="1"/>
  <c r="D224" i="6" s="1"/>
  <c r="C429" i="5" a="1"/>
  <c r="C439" i="5" s="1"/>
  <c r="C411" i="5" a="1"/>
  <c r="C421" i="5" s="1"/>
  <c r="D207" i="6" s="1"/>
  <c r="C392" i="5" a="1"/>
  <c r="C373" i="5" a="1"/>
  <c r="C383" i="5" s="1"/>
  <c r="D195" i="6" s="1"/>
  <c r="C349" i="5" a="1"/>
  <c r="C358" i="5" s="1"/>
  <c r="B184" i="6"/>
  <c r="B181" i="6"/>
  <c r="B180" i="6"/>
  <c r="B179" i="6"/>
  <c r="C327" i="5" a="1"/>
  <c r="B171" i="6"/>
  <c r="D168" i="6"/>
  <c r="B168" i="6"/>
  <c r="B167" i="6"/>
  <c r="B166" i="6"/>
  <c r="C304" i="5" a="1"/>
  <c r="C313" i="5" s="1"/>
  <c r="B161" i="6"/>
  <c r="B158" i="6"/>
  <c r="B157" i="6"/>
  <c r="B156" i="6"/>
  <c r="C281" i="5" a="1"/>
  <c r="C290" i="5" s="1"/>
  <c r="D158" i="6" s="1"/>
  <c r="B151" i="6"/>
  <c r="B148" i="6"/>
  <c r="B147" i="6"/>
  <c r="B146" i="6"/>
  <c r="C257" i="5" a="1"/>
  <c r="C266" i="5" s="1"/>
  <c r="D148" i="6" s="1"/>
  <c r="B140" i="6"/>
  <c r="B137" i="6"/>
  <c r="B136" i="6"/>
  <c r="B135" i="6"/>
  <c r="C234" i="5" a="1"/>
  <c r="C249" i="5" s="1"/>
  <c r="D140" i="6" s="1"/>
  <c r="B124" i="6"/>
  <c r="B121" i="6"/>
  <c r="B120" i="6"/>
  <c r="B119" i="6"/>
  <c r="B118" i="6"/>
  <c r="Q4" i="5"/>
  <c r="R4" i="5"/>
  <c r="M4" i="5"/>
  <c r="V4" i="5" l="1"/>
  <c r="W4" i="5"/>
  <c r="B486" i="5"/>
  <c r="C485" i="5"/>
  <c r="C488" i="5"/>
  <c r="C478" i="5"/>
  <c r="C486" i="5"/>
  <c r="C469" i="5"/>
  <c r="G469" i="5" s="1"/>
  <c r="B470" i="5"/>
  <c r="D470" i="5" s="1"/>
  <c r="B469" i="5"/>
  <c r="B472" i="5"/>
  <c r="D462" i="5" a="1"/>
  <c r="D462" i="5" s="1"/>
  <c r="C470" i="5"/>
  <c r="C472" i="5"/>
  <c r="C453" i="5"/>
  <c r="G454" i="5"/>
  <c r="E454" i="5"/>
  <c r="C446" i="5"/>
  <c r="B454" i="5"/>
  <c r="C224" i="6" s="1"/>
  <c r="C456" i="5"/>
  <c r="D226" i="6" s="1"/>
  <c r="C436" i="5"/>
  <c r="G439" i="5"/>
  <c r="E439" i="5"/>
  <c r="C437" i="5"/>
  <c r="D212" i="6" s="1"/>
  <c r="C429" i="5"/>
  <c r="B437" i="5"/>
  <c r="C212" i="6" s="1"/>
  <c r="C418" i="5"/>
  <c r="B419" i="5"/>
  <c r="G421" i="5"/>
  <c r="E421" i="5"/>
  <c r="C419" i="5"/>
  <c r="D205" i="6" s="1"/>
  <c r="C411" i="5"/>
  <c r="C402" i="5"/>
  <c r="D201" i="6" s="1"/>
  <c r="C400" i="5"/>
  <c r="D199" i="6" s="1"/>
  <c r="C392" i="5"/>
  <c r="C399" i="5"/>
  <c r="D198" i="6" s="1"/>
  <c r="B400" i="5"/>
  <c r="C199" i="6" s="1"/>
  <c r="C373" i="5"/>
  <c r="B383" i="5" s="1"/>
  <c r="C195" i="6" s="1"/>
  <c r="C381" i="5"/>
  <c r="D193" i="6" s="1"/>
  <c r="C380" i="5"/>
  <c r="D192" i="6" s="1"/>
  <c r="B381" i="5"/>
  <c r="C193" i="6" s="1"/>
  <c r="G358" i="5"/>
  <c r="E358" i="5"/>
  <c r="C356" i="5"/>
  <c r="C357" i="5"/>
  <c r="B357" i="5"/>
  <c r="C349" i="5"/>
  <c r="B358" i="5"/>
  <c r="C364" i="5"/>
  <c r="C336" i="5"/>
  <c r="D181" i="6" s="1"/>
  <c r="C342" i="5"/>
  <c r="D184" i="6" s="1"/>
  <c r="B336" i="5"/>
  <c r="C181" i="6" s="1"/>
  <c r="C327" i="5"/>
  <c r="B335" i="5"/>
  <c r="C180" i="6" s="1"/>
  <c r="C335" i="5"/>
  <c r="D180" i="6" s="1"/>
  <c r="C334" i="5"/>
  <c r="D179" i="6" s="1"/>
  <c r="E313" i="5"/>
  <c r="G313" i="5"/>
  <c r="B312" i="5"/>
  <c r="C167" i="6" s="1"/>
  <c r="C312" i="5"/>
  <c r="D167" i="6" s="1"/>
  <c r="C304" i="5"/>
  <c r="C311" i="5"/>
  <c r="D166" i="6" s="1"/>
  <c r="B313" i="5"/>
  <c r="C168" i="6" s="1"/>
  <c r="C319" i="5"/>
  <c r="D171" i="6" s="1"/>
  <c r="C288" i="5"/>
  <c r="E290" i="5"/>
  <c r="G290" i="5"/>
  <c r="B289" i="5"/>
  <c r="C157" i="6" s="1"/>
  <c r="C281" i="5"/>
  <c r="B290" i="5"/>
  <c r="C158" i="6" s="1"/>
  <c r="C296" i="5"/>
  <c r="D161" i="6" s="1"/>
  <c r="C289" i="5"/>
  <c r="D157" i="6" s="1"/>
  <c r="E266" i="5"/>
  <c r="G266" i="5"/>
  <c r="B265" i="5"/>
  <c r="C147" i="6" s="1"/>
  <c r="C264" i="5"/>
  <c r="D146" i="6" s="1"/>
  <c r="C265" i="5"/>
  <c r="D147" i="6" s="1"/>
  <c r="C257" i="5"/>
  <c r="B266" i="5"/>
  <c r="C148" i="6" s="1"/>
  <c r="C272" i="5"/>
  <c r="D151" i="6" s="1"/>
  <c r="C241" i="5"/>
  <c r="D135" i="6" s="1"/>
  <c r="C242" i="5"/>
  <c r="D136" i="6" s="1"/>
  <c r="C234" i="5"/>
  <c r="C243" i="5"/>
  <c r="D137" i="6" s="1"/>
  <c r="B242" i="5"/>
  <c r="C136" i="6" s="1"/>
  <c r="B243" i="5"/>
  <c r="C137" i="6" s="1"/>
  <c r="C210" i="5" a="1"/>
  <c r="C226" i="5" s="1"/>
  <c r="D124" i="6" s="1"/>
  <c r="C184" i="5" a="1"/>
  <c r="C184" i="5" s="1"/>
  <c r="D184" i="5" s="1" a="1"/>
  <c r="D184" i="5" s="1"/>
  <c r="C4" i="5" a="1"/>
  <c r="C4" i="5" s="1"/>
  <c r="C52" i="5" a="1"/>
  <c r="C52" i="5" s="1"/>
  <c r="C92" i="5" a="1"/>
  <c r="C92" i="5" s="1"/>
  <c r="C153" i="5" a="1"/>
  <c r="C121" i="5" a="1"/>
  <c r="C121" i="5" s="1"/>
  <c r="D121" i="5" s="1" a="1"/>
  <c r="D121" i="5" s="1"/>
  <c r="B114" i="6"/>
  <c r="B112" i="6"/>
  <c r="B109" i="6"/>
  <c r="B108" i="6"/>
  <c r="B107" i="6"/>
  <c r="B106" i="6"/>
  <c r="B100" i="6"/>
  <c r="B98" i="6"/>
  <c r="B95" i="6"/>
  <c r="B94" i="6"/>
  <c r="B93" i="6"/>
  <c r="B92" i="6"/>
  <c r="B87" i="6"/>
  <c r="B85" i="6"/>
  <c r="B82" i="6"/>
  <c r="B81" i="6"/>
  <c r="B80" i="6"/>
  <c r="B79" i="6"/>
  <c r="B78" i="6"/>
  <c r="J470" i="5" a="1"/>
  <c r="E121" i="5" a="1"/>
  <c r="E453" i="5" l="1"/>
  <c r="D223" i="6"/>
  <c r="E288" i="5"/>
  <c r="D156" i="6"/>
  <c r="E436" i="5"/>
  <c r="D211" i="6"/>
  <c r="F419" i="5"/>
  <c r="C205" i="6"/>
  <c r="E418" i="5"/>
  <c r="D204" i="6"/>
  <c r="G486" i="5"/>
  <c r="E486" i="5"/>
  <c r="B485" i="5"/>
  <c r="B488" i="5"/>
  <c r="D478" i="5" a="1"/>
  <c r="D478" i="5" s="1"/>
  <c r="E469" i="5"/>
  <c r="G488" i="5"/>
  <c r="E488" i="5"/>
  <c r="E485" i="5"/>
  <c r="G485" i="5"/>
  <c r="F486" i="5"/>
  <c r="H486" i="5" s="1"/>
  <c r="D486" i="5"/>
  <c r="F470" i="5"/>
  <c r="G453" i="5"/>
  <c r="F469" i="5"/>
  <c r="H469" i="5" s="1"/>
  <c r="D469" i="5"/>
  <c r="G472" i="5"/>
  <c r="E472" i="5"/>
  <c r="G470" i="5"/>
  <c r="E470" i="5"/>
  <c r="D472" i="5"/>
  <c r="F472" i="5"/>
  <c r="H472" i="5" s="1"/>
  <c r="G436" i="5"/>
  <c r="B453" i="5"/>
  <c r="C223" i="6" s="1"/>
  <c r="B456" i="5"/>
  <c r="C226" i="6" s="1"/>
  <c r="D446" i="5" a="1"/>
  <c r="D446" i="5" s="1"/>
  <c r="F454" i="5"/>
  <c r="H454" i="5" s="1"/>
  <c r="D454" i="5"/>
  <c r="E456" i="5"/>
  <c r="G456" i="5"/>
  <c r="G418" i="5"/>
  <c r="B436" i="5"/>
  <c r="C211" i="6" s="1"/>
  <c r="B439" i="5"/>
  <c r="C214" i="6" s="1"/>
  <c r="D429" i="5" a="1"/>
  <c r="D429" i="5" s="1"/>
  <c r="G437" i="5"/>
  <c r="E437" i="5"/>
  <c r="F437" i="5"/>
  <c r="D437" i="5"/>
  <c r="D419" i="5"/>
  <c r="B418" i="5"/>
  <c r="C204" i="6" s="1"/>
  <c r="B421" i="5"/>
  <c r="C207" i="6" s="1"/>
  <c r="D411" i="5" a="1"/>
  <c r="D411" i="5" s="1"/>
  <c r="G419" i="5"/>
  <c r="H419" i="5" s="1"/>
  <c r="E419" i="5"/>
  <c r="F400" i="5"/>
  <c r="D400" i="5"/>
  <c r="G399" i="5"/>
  <c r="E399" i="5"/>
  <c r="B399" i="5"/>
  <c r="C198" i="6" s="1"/>
  <c r="B402" i="5"/>
  <c r="C201" i="6" s="1"/>
  <c r="D392" i="5" a="1"/>
  <c r="D392" i="5" s="1"/>
  <c r="G400" i="5"/>
  <c r="E400" i="5"/>
  <c r="G402" i="5"/>
  <c r="E402" i="5"/>
  <c r="G380" i="5"/>
  <c r="E380" i="5"/>
  <c r="E381" i="5"/>
  <c r="G381" i="5"/>
  <c r="D373" i="5" a="1"/>
  <c r="D373" i="5" s="1"/>
  <c r="B380" i="5"/>
  <c r="C192" i="6" s="1"/>
  <c r="F381" i="5"/>
  <c r="D381" i="5"/>
  <c r="G383" i="5"/>
  <c r="E383" i="5"/>
  <c r="G364" i="5"/>
  <c r="E364" i="5"/>
  <c r="F358" i="5"/>
  <c r="H358" i="5" s="1"/>
  <c r="D358" i="5"/>
  <c r="E357" i="5"/>
  <c r="G357" i="5"/>
  <c r="D349" i="5" a="1"/>
  <c r="D349" i="5" s="1"/>
  <c r="B356" i="5"/>
  <c r="B364" i="5"/>
  <c r="F357" i="5"/>
  <c r="D357" i="5"/>
  <c r="G356" i="5"/>
  <c r="E356" i="5"/>
  <c r="E334" i="5"/>
  <c r="G334" i="5"/>
  <c r="G288" i="5"/>
  <c r="F335" i="5"/>
  <c r="D335" i="5"/>
  <c r="D327" i="5" a="1"/>
  <c r="D327" i="5" s="1"/>
  <c r="B342" i="5"/>
  <c r="C184" i="6" s="1"/>
  <c r="B334" i="5"/>
  <c r="C179" i="6" s="1"/>
  <c r="F336" i="5"/>
  <c r="D336" i="5"/>
  <c r="E335" i="5"/>
  <c r="G335" i="5"/>
  <c r="G342" i="5"/>
  <c r="E342" i="5"/>
  <c r="G336" i="5"/>
  <c r="E336" i="5"/>
  <c r="G311" i="5"/>
  <c r="E311" i="5"/>
  <c r="D304" i="5" a="1"/>
  <c r="D304" i="5" s="1"/>
  <c r="B311" i="5"/>
  <c r="C166" i="6" s="1"/>
  <c r="B319" i="5"/>
  <c r="C171" i="6" s="1"/>
  <c r="E312" i="5"/>
  <c r="G312" i="5"/>
  <c r="F312" i="5"/>
  <c r="D312" i="5"/>
  <c r="G319" i="5"/>
  <c r="E319" i="5"/>
  <c r="D313" i="5"/>
  <c r="F313" i="5"/>
  <c r="H313" i="5" s="1"/>
  <c r="D281" i="5" a="1"/>
  <c r="D281" i="5" s="1"/>
  <c r="B288" i="5"/>
  <c r="C156" i="6" s="1"/>
  <c r="B296" i="5"/>
  <c r="C161" i="6" s="1"/>
  <c r="F289" i="5"/>
  <c r="D289" i="5"/>
  <c r="E289" i="5"/>
  <c r="G289" i="5"/>
  <c r="E296" i="5"/>
  <c r="G296" i="5"/>
  <c r="D290" i="5"/>
  <c r="F290" i="5"/>
  <c r="H290" i="5" s="1"/>
  <c r="F266" i="5"/>
  <c r="H266" i="5" s="1"/>
  <c r="D266" i="5"/>
  <c r="D257" i="5" a="1"/>
  <c r="D257" i="5" s="1"/>
  <c r="B272" i="5"/>
  <c r="C151" i="6" s="1"/>
  <c r="B264" i="5"/>
  <c r="C146" i="6" s="1"/>
  <c r="E265" i="5"/>
  <c r="G265" i="5"/>
  <c r="E264" i="5"/>
  <c r="G264" i="5"/>
  <c r="G272" i="5"/>
  <c r="E272" i="5"/>
  <c r="F265" i="5"/>
  <c r="D265" i="5"/>
  <c r="G243" i="5"/>
  <c r="E243" i="5"/>
  <c r="G241" i="5"/>
  <c r="E241" i="5"/>
  <c r="D242" i="5"/>
  <c r="F242" i="5"/>
  <c r="D234" i="5" a="1"/>
  <c r="D234" i="5" s="1"/>
  <c r="B249" i="5"/>
  <c r="C140" i="6" s="1"/>
  <c r="B241" i="5"/>
  <c r="C135" i="6" s="1"/>
  <c r="E242" i="5"/>
  <c r="G242" i="5"/>
  <c r="E249" i="5"/>
  <c r="G249" i="5"/>
  <c r="F243" i="5"/>
  <c r="D243" i="5"/>
  <c r="G226" i="5"/>
  <c r="E226" i="5"/>
  <c r="C210" i="5"/>
  <c r="B226" i="5" s="1"/>
  <c r="C124" i="6" s="1"/>
  <c r="B218" i="5"/>
  <c r="C119" i="6" s="1"/>
  <c r="B219" i="5"/>
  <c r="C120" i="6" s="1"/>
  <c r="C220" i="5"/>
  <c r="D121" i="6" s="1"/>
  <c r="C217" i="5"/>
  <c r="D118" i="6" s="1"/>
  <c r="C219" i="5"/>
  <c r="D120" i="6" s="1"/>
  <c r="B220" i="5"/>
  <c r="C121" i="6" s="1"/>
  <c r="C218" i="5"/>
  <c r="D119" i="6" s="1"/>
  <c r="C153" i="5"/>
  <c r="B162" i="5" s="1"/>
  <c r="C92" i="6" s="1"/>
  <c r="B172" i="5"/>
  <c r="C170" i="5"/>
  <c r="C172" i="5"/>
  <c r="B200" i="5"/>
  <c r="C112" i="6" s="1"/>
  <c r="C200" i="5"/>
  <c r="D112" i="6" s="1"/>
  <c r="B202" i="5"/>
  <c r="C114" i="6" s="1"/>
  <c r="C202" i="5"/>
  <c r="B194" i="5"/>
  <c r="C108" i="6" s="1"/>
  <c r="C194" i="5"/>
  <c r="D108" i="6" s="1"/>
  <c r="B192" i="5"/>
  <c r="C106" i="6" s="1"/>
  <c r="C192" i="5"/>
  <c r="D106" i="6" s="1"/>
  <c r="B193" i="5"/>
  <c r="C107" i="6" s="1"/>
  <c r="B195" i="5"/>
  <c r="C109" i="6" s="1"/>
  <c r="C195" i="5"/>
  <c r="D109" i="6" s="1"/>
  <c r="C193" i="5"/>
  <c r="D107" i="6" s="1"/>
  <c r="C163" i="5"/>
  <c r="D93" i="6" s="1"/>
  <c r="D98" i="6"/>
  <c r="B164" i="5"/>
  <c r="C94" i="6" s="1"/>
  <c r="C164" i="5"/>
  <c r="D94" i="6" s="1"/>
  <c r="C162" i="5"/>
  <c r="D92" i="6" s="1"/>
  <c r="B165" i="5"/>
  <c r="C95" i="6" s="1"/>
  <c r="C100" i="6"/>
  <c r="C165" i="5"/>
  <c r="D95" i="6" s="1"/>
  <c r="D100" i="6"/>
  <c r="B163" i="5"/>
  <c r="C93" i="6" s="1"/>
  <c r="B139" i="5"/>
  <c r="C85" i="6" s="1"/>
  <c r="B141" i="5"/>
  <c r="C87" i="6" s="1"/>
  <c r="C139" i="5"/>
  <c r="D85" i="6" s="1"/>
  <c r="C133" i="5"/>
  <c r="D81" i="6" s="1"/>
  <c r="C134" i="5"/>
  <c r="B132" i="5"/>
  <c r="C80" i="6" s="1"/>
  <c r="C132" i="5"/>
  <c r="D80" i="6" s="1"/>
  <c r="B131" i="5"/>
  <c r="C79" i="6" s="1"/>
  <c r="B133" i="5"/>
  <c r="C81" i="6" s="1"/>
  <c r="C131" i="5"/>
  <c r="D79" i="6" s="1"/>
  <c r="B134" i="5"/>
  <c r="C82" i="6" s="1"/>
  <c r="B130" i="5"/>
  <c r="C78" i="6" s="1"/>
  <c r="C130" i="5"/>
  <c r="D78" i="6" s="1"/>
  <c r="B74" i="6"/>
  <c r="B72" i="6"/>
  <c r="B69" i="6"/>
  <c r="B68" i="6"/>
  <c r="B67" i="6"/>
  <c r="B66" i="6"/>
  <c r="B65" i="6"/>
  <c r="B60" i="6"/>
  <c r="B58" i="6"/>
  <c r="B57" i="6"/>
  <c r="B54" i="6"/>
  <c r="B53" i="6"/>
  <c r="B52" i="6"/>
  <c r="B51" i="6"/>
  <c r="B50" i="6"/>
  <c r="B49" i="6"/>
  <c r="B48" i="6"/>
  <c r="B43" i="6"/>
  <c r="B41" i="6"/>
  <c r="B40" i="6"/>
  <c r="B37" i="6"/>
  <c r="B36" i="6"/>
  <c r="B35" i="6"/>
  <c r="B34" i="6"/>
  <c r="B33" i="6"/>
  <c r="B32" i="6"/>
  <c r="B31" i="6"/>
  <c r="B30" i="6"/>
  <c r="B29" i="6"/>
  <c r="B28" i="6"/>
  <c r="K453" i="5" a="1"/>
  <c r="K418" i="5" a="1"/>
  <c r="E122" i="5" a="1"/>
  <c r="K439" i="5" a="1"/>
  <c r="J419" i="5" a="1"/>
  <c r="E126" i="5" a="1"/>
  <c r="E124" i="5" a="1"/>
  <c r="K358" i="5" a="1"/>
  <c r="K266" i="5" a="1"/>
  <c r="K290" i="5" a="1"/>
  <c r="K288" i="5" a="1"/>
  <c r="E123" i="5" a="1"/>
  <c r="K421" i="5" a="1"/>
  <c r="K313" i="5" a="1"/>
  <c r="K469" i="5" a="1"/>
  <c r="E125" i="5" a="1"/>
  <c r="K454" i="5" a="1"/>
  <c r="K436" i="5" a="1"/>
  <c r="E121" i="5"/>
  <c r="J470" i="5"/>
  <c r="D485" i="5" l="1"/>
  <c r="F485" i="5"/>
  <c r="H485" i="5" s="1"/>
  <c r="D488" i="5"/>
  <c r="F488" i="5"/>
  <c r="H488" i="5" s="1"/>
  <c r="H470" i="5"/>
  <c r="D456" i="5"/>
  <c r="F456" i="5"/>
  <c r="H456" i="5" s="1"/>
  <c r="D453" i="5"/>
  <c r="F453" i="5"/>
  <c r="H453" i="5" s="1"/>
  <c r="D439" i="5"/>
  <c r="F439" i="5"/>
  <c r="H439" i="5" s="1"/>
  <c r="H437" i="5"/>
  <c r="F436" i="5"/>
  <c r="H436" i="5" s="1"/>
  <c r="D436" i="5"/>
  <c r="D421" i="5"/>
  <c r="F421" i="5"/>
  <c r="H421" i="5" s="1"/>
  <c r="D418" i="5"/>
  <c r="F418" i="5"/>
  <c r="H418" i="5" s="1"/>
  <c r="H381" i="5"/>
  <c r="H400" i="5"/>
  <c r="F399" i="5"/>
  <c r="H399" i="5" s="1"/>
  <c r="D399" i="5"/>
  <c r="D402" i="5"/>
  <c r="F402" i="5"/>
  <c r="H402" i="5" s="1"/>
  <c r="F380" i="5"/>
  <c r="H380" i="5" s="1"/>
  <c r="D380" i="5"/>
  <c r="D383" i="5"/>
  <c r="F383" i="5"/>
  <c r="H383" i="5" s="1"/>
  <c r="H312" i="5"/>
  <c r="D356" i="5"/>
  <c r="F356" i="5"/>
  <c r="H356" i="5" s="1"/>
  <c r="H357" i="5"/>
  <c r="D364" i="5"/>
  <c r="F364" i="5"/>
  <c r="H364" i="5" s="1"/>
  <c r="H335" i="5"/>
  <c r="H336" i="5"/>
  <c r="D334" i="5"/>
  <c r="F334" i="5"/>
  <c r="H334" i="5" s="1"/>
  <c r="D342" i="5"/>
  <c r="F342" i="5"/>
  <c r="H342" i="5" s="1"/>
  <c r="D319" i="5"/>
  <c r="F319" i="5"/>
  <c r="H319" i="5" s="1"/>
  <c r="D311" i="5"/>
  <c r="F311" i="5"/>
  <c r="H311" i="5" s="1"/>
  <c r="H289" i="5"/>
  <c r="D296" i="5"/>
  <c r="F296" i="5"/>
  <c r="H296" i="5" s="1"/>
  <c r="F288" i="5"/>
  <c r="H288" i="5" s="1"/>
  <c r="D288" i="5"/>
  <c r="H242" i="5"/>
  <c r="F264" i="5"/>
  <c r="H264" i="5" s="1"/>
  <c r="D264" i="5"/>
  <c r="H265" i="5"/>
  <c r="D272" i="5"/>
  <c r="F272" i="5"/>
  <c r="H272" i="5" s="1"/>
  <c r="D249" i="5"/>
  <c r="F249" i="5"/>
  <c r="H249" i="5" s="1"/>
  <c r="H243" i="5"/>
  <c r="D241" i="5"/>
  <c r="F241" i="5"/>
  <c r="H241" i="5" s="1"/>
  <c r="D226" i="5"/>
  <c r="F226" i="5"/>
  <c r="H226" i="5" s="1"/>
  <c r="D220" i="5"/>
  <c r="F220" i="5"/>
  <c r="G219" i="5"/>
  <c r="E219" i="5"/>
  <c r="E217" i="5"/>
  <c r="G217" i="5"/>
  <c r="E218" i="5"/>
  <c r="G218" i="5"/>
  <c r="E220" i="5"/>
  <c r="G220" i="5"/>
  <c r="F219" i="5"/>
  <c r="D219" i="5"/>
  <c r="F218" i="5"/>
  <c r="D218" i="5"/>
  <c r="D210" i="5" a="1"/>
  <c r="D210" i="5" s="1"/>
  <c r="B217" i="5"/>
  <c r="C118" i="6" s="1"/>
  <c r="D153" i="5" a="1"/>
  <c r="B170" i="5"/>
  <c r="D82" i="6"/>
  <c r="C141" i="5"/>
  <c r="G202" i="5"/>
  <c r="D114" i="6"/>
  <c r="E202" i="5"/>
  <c r="D194" i="5"/>
  <c r="F194" i="5"/>
  <c r="D202" i="5"/>
  <c r="F202" i="5"/>
  <c r="E193" i="5"/>
  <c r="G193" i="5"/>
  <c r="G192" i="5"/>
  <c r="E192" i="5"/>
  <c r="E194" i="5"/>
  <c r="G194" i="5"/>
  <c r="H194" i="5" s="1"/>
  <c r="G200" i="5"/>
  <c r="E200" i="5"/>
  <c r="D195" i="5"/>
  <c r="F195" i="5"/>
  <c r="G195" i="5"/>
  <c r="E195" i="5"/>
  <c r="F193" i="5"/>
  <c r="D193" i="5"/>
  <c r="D200" i="5"/>
  <c r="F200" i="5"/>
  <c r="F192" i="5"/>
  <c r="D192" i="5"/>
  <c r="F163" i="5"/>
  <c r="D163" i="5"/>
  <c r="G172" i="5"/>
  <c r="E172" i="5"/>
  <c r="F164" i="5"/>
  <c r="D164" i="5"/>
  <c r="D172" i="5"/>
  <c r="F172" i="5"/>
  <c r="D162" i="5"/>
  <c r="F162" i="5"/>
  <c r="D165" i="5"/>
  <c r="F165" i="5"/>
  <c r="G170" i="5"/>
  <c r="E170" i="5"/>
  <c r="G165" i="5"/>
  <c r="E165" i="5"/>
  <c r="E162" i="5"/>
  <c r="G162" i="5"/>
  <c r="G164" i="5"/>
  <c r="E164" i="5"/>
  <c r="G163" i="5"/>
  <c r="E163" i="5"/>
  <c r="E139" i="5"/>
  <c r="G139" i="5"/>
  <c r="D139" i="5"/>
  <c r="F139" i="5"/>
  <c r="D141" i="5"/>
  <c r="F141" i="5"/>
  <c r="F131" i="5"/>
  <c r="D131" i="5"/>
  <c r="G132" i="5"/>
  <c r="E132" i="5"/>
  <c r="F134" i="5"/>
  <c r="D134" i="5"/>
  <c r="F132" i="5"/>
  <c r="D132" i="5"/>
  <c r="G131" i="5"/>
  <c r="E131" i="5"/>
  <c r="G134" i="5"/>
  <c r="E134" i="5"/>
  <c r="D133" i="5"/>
  <c r="F133" i="5"/>
  <c r="E133" i="5"/>
  <c r="G133" i="5"/>
  <c r="E130" i="5"/>
  <c r="G130" i="5"/>
  <c r="D130" i="5"/>
  <c r="F130" i="5"/>
  <c r="B2" i="1"/>
  <c r="E2" i="1"/>
  <c r="B3" i="7"/>
  <c r="N196" i="1" a="1"/>
  <c r="AH47" i="3" a="1"/>
  <c r="J469" i="5" a="1"/>
  <c r="J472" i="5" a="1"/>
  <c r="K334" i="5" a="1"/>
  <c r="K472" i="5" a="1"/>
  <c r="K319" i="5" a="1"/>
  <c r="K335" i="5" a="1"/>
  <c r="AF30" i="3" a="1"/>
  <c r="AF9" i="3" a="1"/>
  <c r="AF38" i="3" a="1"/>
  <c r="K336" i="5" a="1"/>
  <c r="AF23" i="3" a="1"/>
  <c r="K383" i="5" a="1"/>
  <c r="K419" i="5" a="1"/>
  <c r="AG15" i="3" a="1"/>
  <c r="AE7" i="3" a="1"/>
  <c r="AG11" i="3" a="1"/>
  <c r="AG38" i="3" a="1"/>
  <c r="AG39" i="3" a="1"/>
  <c r="AE9" i="3" a="1"/>
  <c r="AE10" i="3" a="1"/>
  <c r="AG14" i="3" a="1"/>
  <c r="AE26" i="3" a="1"/>
  <c r="K400" i="5" a="1"/>
  <c r="AF17" i="3" a="1"/>
  <c r="AF34" i="3" a="1"/>
  <c r="AE29" i="3" a="1"/>
  <c r="AG8" i="3" a="1"/>
  <c r="AG30" i="3" a="1"/>
  <c r="K249" i="5" a="1"/>
  <c r="AG6" i="3" a="1"/>
  <c r="AG19" i="3" a="1"/>
  <c r="K226" i="5" a="1"/>
  <c r="K265" i="5" a="1"/>
  <c r="K437" i="5" a="1"/>
  <c r="AF36" i="3" a="1"/>
  <c r="AF11" i="3" a="1"/>
  <c r="AF12" i="3" a="1"/>
  <c r="AF10" i="3" a="1"/>
  <c r="J312" i="5" a="1"/>
  <c r="AF31" i="3" a="1"/>
  <c r="K488" i="5" a="1"/>
  <c r="K296" i="5" a="1"/>
  <c r="AE15" i="3" a="1"/>
  <c r="AE36" i="3" a="1"/>
  <c r="AG32" i="3" a="1"/>
  <c r="AE21" i="3" a="1"/>
  <c r="AG16" i="3" a="1"/>
  <c r="AE5" i="3" a="1"/>
  <c r="AE25" i="3" a="1"/>
  <c r="AE13" i="3" a="1"/>
  <c r="AG31" i="3" a="1"/>
  <c r="J243" i="5" a="1"/>
  <c r="K272" i="5" a="1"/>
  <c r="AE34" i="3" a="1"/>
  <c r="AF26" i="3" a="1"/>
  <c r="AG23" i="3" a="1"/>
  <c r="K356" i="5" a="1"/>
  <c r="J289" i="5" a="1"/>
  <c r="J400" i="5" a="1"/>
  <c r="K264" i="5" a="1"/>
  <c r="AF20" i="3" a="1"/>
  <c r="AF37" i="3" a="1"/>
  <c r="AF35" i="3" a="1"/>
  <c r="K243" i="5" a="1"/>
  <c r="AF8" i="3" a="1"/>
  <c r="AF7" i="3" a="1"/>
  <c r="K456" i="5" a="1"/>
  <c r="AG29" i="3" a="1"/>
  <c r="AE38" i="3" a="1"/>
  <c r="AG7" i="3" a="1"/>
  <c r="AG36" i="3" a="1"/>
  <c r="AE8" i="3" a="1"/>
  <c r="AE35" i="3" a="1"/>
  <c r="AE16" i="3" a="1"/>
  <c r="AG9" i="3" a="1"/>
  <c r="AG25" i="3" a="1"/>
  <c r="AG35" i="3" a="1"/>
  <c r="AF18" i="3" a="1"/>
  <c r="AF22" i="3" a="1"/>
  <c r="J242" i="5" a="1"/>
  <c r="AE30" i="3" a="1"/>
  <c r="AF6" i="3" a="1"/>
  <c r="AE28" i="3" a="1"/>
  <c r="AG18" i="3" a="1"/>
  <c r="J313" i="5" a="1"/>
  <c r="J335" i="5" a="1"/>
  <c r="J266" i="5" a="1"/>
  <c r="J336" i="5" a="1"/>
  <c r="AF33" i="3" a="1"/>
  <c r="K311" i="5" a="1"/>
  <c r="AH44" i="3" a="1"/>
  <c r="K342" i="5" a="1"/>
  <c r="J290" i="5" a="1"/>
  <c r="AF32" i="3" a="1"/>
  <c r="J381" i="5" a="1"/>
  <c r="AE12" i="3" a="1"/>
  <c r="AE17" i="3" a="1"/>
  <c r="AG28" i="3" a="1"/>
  <c r="AG21" i="3" a="1"/>
  <c r="AE32" i="3" a="1"/>
  <c r="AG37" i="3" a="1"/>
  <c r="AE18" i="3" a="1"/>
  <c r="AG10" i="3" a="1"/>
  <c r="AE37" i="3" a="1"/>
  <c r="AE23" i="3" a="1"/>
  <c r="K470" i="5" a="1"/>
  <c r="AF4" i="3" a="1"/>
  <c r="AF19" i="3" a="1"/>
  <c r="AG4" i="3" a="1"/>
  <c r="AG27" i="3" a="1"/>
  <c r="AG22" i="3" a="1"/>
  <c r="AF21" i="3" a="1"/>
  <c r="K381" i="5" a="1"/>
  <c r="AG26" i="3" a="1"/>
  <c r="K364" i="5" a="1"/>
  <c r="K312" i="5" a="1"/>
  <c r="J358" i="5" a="1"/>
  <c r="K357" i="5" a="1"/>
  <c r="K402" i="5" a="1"/>
  <c r="AF25" i="3" a="1"/>
  <c r="AF5" i="3" a="1"/>
  <c r="AF16" i="3" a="1"/>
  <c r="AF14" i="3" a="1"/>
  <c r="K289" i="5" a="1"/>
  <c r="K485" i="5" a="1"/>
  <c r="K380" i="5" a="1"/>
  <c r="AG12" i="3" a="1"/>
  <c r="AE33" i="3" a="1"/>
  <c r="AE4" i="3" a="1"/>
  <c r="AE11" i="3" a="1"/>
  <c r="AE14" i="3" a="1"/>
  <c r="AG20" i="3" a="1"/>
  <c r="AG13" i="3" a="1"/>
  <c r="AE19" i="3" a="1"/>
  <c r="AE22" i="3" a="1"/>
  <c r="K202" i="5" a="1"/>
  <c r="J454" i="5" a="1"/>
  <c r="AF39" i="3" a="1"/>
  <c r="AF29" i="3" a="1"/>
  <c r="AG24" i="3" a="1"/>
  <c r="AE20" i="3" a="1"/>
  <c r="J357" i="5" a="1"/>
  <c r="J437" i="5" a="1"/>
  <c r="K242" i="5" a="1"/>
  <c r="J265" i="5" a="1"/>
  <c r="AF28" i="3" a="1"/>
  <c r="J486" i="5" a="1"/>
  <c r="AF13" i="3" a="1"/>
  <c r="AF24" i="3" a="1"/>
  <c r="AF27" i="3" a="1"/>
  <c r="AF15" i="3" a="1"/>
  <c r="K486" i="5" a="1"/>
  <c r="AE6" i="3" a="1"/>
  <c r="AE24" i="3" a="1"/>
  <c r="K241" i="5" a="1"/>
  <c r="AG17" i="3" a="1"/>
  <c r="AE31" i="3" a="1"/>
  <c r="AE27" i="3" a="1"/>
  <c r="AG34" i="3" a="1"/>
  <c r="AG5" i="3" a="1"/>
  <c r="AE39" i="3" a="1"/>
  <c r="J194" i="5" a="1"/>
  <c r="K399" i="5" a="1"/>
  <c r="AG33" i="3" a="1"/>
  <c r="E122" i="5"/>
  <c r="E126" i="5"/>
  <c r="K453" i="5"/>
  <c r="K313" i="5"/>
  <c r="K454" i="5"/>
  <c r="K439" i="5"/>
  <c r="K288" i="5"/>
  <c r="E125" i="5"/>
  <c r="K358" i="5"/>
  <c r="K418" i="5"/>
  <c r="K436" i="5"/>
  <c r="E123" i="5"/>
  <c r="K469" i="5"/>
  <c r="E124" i="5"/>
  <c r="K266" i="5"/>
  <c r="J419" i="5"/>
  <c r="K290" i="5"/>
  <c r="K421" i="5"/>
  <c r="F148" i="6" l="1"/>
  <c r="F207" i="6"/>
  <c r="F223" i="6"/>
  <c r="E205" i="6"/>
  <c r="F168" i="6"/>
  <c r="F224" i="6"/>
  <c r="F204" i="6"/>
  <c r="F158" i="6"/>
  <c r="F214" i="6"/>
  <c r="F156" i="6"/>
  <c r="F211" i="6"/>
  <c r="F170" i="5"/>
  <c r="C98" i="6"/>
  <c r="G141" i="5"/>
  <c r="H141" i="5" s="1"/>
  <c r="D87" i="6"/>
  <c r="J472" i="5"/>
  <c r="J469" i="5"/>
  <c r="L469" i="5" s="1"/>
  <c r="M469" i="5" s="1"/>
  <c r="H219" i="5"/>
  <c r="H361" i="5"/>
  <c r="H360" i="5"/>
  <c r="H339" i="5"/>
  <c r="H338" i="5"/>
  <c r="H316" i="5"/>
  <c r="H315" i="5"/>
  <c r="H293" i="5"/>
  <c r="H292" i="5"/>
  <c r="H269" i="5"/>
  <c r="H268" i="5"/>
  <c r="H245" i="5"/>
  <c r="H246" i="5"/>
  <c r="E141" i="5"/>
  <c r="H218" i="5"/>
  <c r="F217" i="5"/>
  <c r="H217" i="5" s="1"/>
  <c r="D217" i="5"/>
  <c r="H220" i="5"/>
  <c r="D170" i="5"/>
  <c r="D153" i="5"/>
  <c r="H202" i="5"/>
  <c r="H192" i="5"/>
  <c r="H195" i="5"/>
  <c r="H200" i="5"/>
  <c r="H165" i="5"/>
  <c r="H193" i="5"/>
  <c r="H172" i="5"/>
  <c r="H164" i="5"/>
  <c r="H162" i="5"/>
  <c r="H170" i="5"/>
  <c r="H163" i="5"/>
  <c r="H139" i="5"/>
  <c r="H132" i="5"/>
  <c r="H133" i="5"/>
  <c r="H134" i="5"/>
  <c r="H131" i="5"/>
  <c r="H130" i="5"/>
  <c r="AH47" i="3"/>
  <c r="N196" i="1"/>
  <c r="M196" i="1" a="1"/>
  <c r="J488" i="5" a="1"/>
  <c r="J485" i="5" a="1"/>
  <c r="J364" i="5" a="1"/>
  <c r="J356" i="5" a="1"/>
  <c r="K193" i="5" a="1"/>
  <c r="J380" i="5" a="1"/>
  <c r="J383" i="5" a="1"/>
  <c r="J296" i="5" a="1"/>
  <c r="J165" i="5" a="1"/>
  <c r="K164" i="5" a="1"/>
  <c r="J141" i="5" a="1"/>
  <c r="J218" i="5" a="1"/>
  <c r="K162" i="5" a="1"/>
  <c r="J170" i="5" a="1"/>
  <c r="J334" i="5" a="1"/>
  <c r="J202" i="5" a="1"/>
  <c r="J439" i="5" a="1"/>
  <c r="J399" i="5" a="1"/>
  <c r="J402" i="5" a="1"/>
  <c r="K131" i="5" a="1"/>
  <c r="J342" i="5" a="1"/>
  <c r="K134" i="5" a="1"/>
  <c r="J131" i="5" a="1"/>
  <c r="E154" i="5" a="1"/>
  <c r="J418" i="5" a="1"/>
  <c r="J249" i="5" a="1"/>
  <c r="K200" i="5" a="1"/>
  <c r="J192" i="5" a="1"/>
  <c r="J219" i="5" a="1"/>
  <c r="E156" i="5" a="1"/>
  <c r="J164" i="5" a="1"/>
  <c r="K139" i="5" a="1"/>
  <c r="K165" i="5" a="1"/>
  <c r="J241" i="5" a="1"/>
  <c r="K220" i="5" a="1"/>
  <c r="J272" i="5" a="1"/>
  <c r="K194" i="5" a="1"/>
  <c r="J172" i="5" a="1"/>
  <c r="K219" i="5" a="1"/>
  <c r="K133" i="5" a="1"/>
  <c r="J132" i="5" a="1"/>
  <c r="J139" i="5" a="1"/>
  <c r="J421" i="5" a="1"/>
  <c r="J264" i="5" a="1"/>
  <c r="J226" i="5" a="1"/>
  <c r="J288" i="5" a="1"/>
  <c r="K132" i="5" a="1"/>
  <c r="K163" i="5" a="1"/>
  <c r="J133" i="5" a="1"/>
  <c r="E153" i="5" a="1"/>
  <c r="E157" i="5" a="1"/>
  <c r="J311" i="5" a="1"/>
  <c r="J436" i="5" a="1"/>
  <c r="K192" i="5" a="1"/>
  <c r="K218" i="5" a="1"/>
  <c r="J456" i="5" a="1"/>
  <c r="J162" i="5" a="1"/>
  <c r="J453" i="5" a="1"/>
  <c r="K130" i="5" a="1"/>
  <c r="K172" i="5" a="1"/>
  <c r="J195" i="5" a="1"/>
  <c r="J319" i="5" a="1"/>
  <c r="J193" i="5" a="1"/>
  <c r="K195" i="5" a="1"/>
  <c r="J200" i="5" a="1"/>
  <c r="J220" i="5" a="1"/>
  <c r="K141" i="5" a="1"/>
  <c r="E155" i="5" a="1"/>
  <c r="K217" i="5" a="1"/>
  <c r="J130" i="5" a="1"/>
  <c r="J134" i="5" a="1"/>
  <c r="J163" i="5" a="1"/>
  <c r="K170" i="5" a="1"/>
  <c r="K485" i="5"/>
  <c r="K242" i="5"/>
  <c r="J358" i="5"/>
  <c r="AF16" i="3"/>
  <c r="K202" i="5"/>
  <c r="AG33" i="3"/>
  <c r="AF29" i="3"/>
  <c r="AF13" i="3"/>
  <c r="AE12" i="3"/>
  <c r="K486" i="5"/>
  <c r="AF39" i="3"/>
  <c r="AF32" i="3"/>
  <c r="AE27" i="3"/>
  <c r="K357" i="5"/>
  <c r="AF30" i="3"/>
  <c r="AG35" i="3"/>
  <c r="AF28" i="3"/>
  <c r="AG12" i="3"/>
  <c r="AF38" i="3"/>
  <c r="J313" i="5"/>
  <c r="K226" i="5"/>
  <c r="AG9" i="3"/>
  <c r="AF12" i="3"/>
  <c r="AF6" i="3"/>
  <c r="AE32" i="3"/>
  <c r="AE15" i="3"/>
  <c r="K334" i="5"/>
  <c r="AF8" i="3"/>
  <c r="AG22" i="3"/>
  <c r="J243" i="5"/>
  <c r="AE5" i="3"/>
  <c r="J290" i="5"/>
  <c r="AG21" i="3"/>
  <c r="AE10" i="3"/>
  <c r="AE28" i="3"/>
  <c r="K381" i="5"/>
  <c r="AG19" i="3"/>
  <c r="J437" i="5"/>
  <c r="K264" i="5"/>
  <c r="AE34" i="3"/>
  <c r="AF37" i="3"/>
  <c r="AE38" i="3"/>
  <c r="AE39" i="3"/>
  <c r="AG31" i="3"/>
  <c r="AG4" i="3"/>
  <c r="AE8" i="3"/>
  <c r="AF22" i="3"/>
  <c r="J400" i="5"/>
  <c r="AE14" i="3"/>
  <c r="AE29" i="3"/>
  <c r="AG20" i="3"/>
  <c r="AF35" i="3"/>
  <c r="AF36" i="3"/>
  <c r="AF4" i="3"/>
  <c r="AG39" i="3"/>
  <c r="K383" i="5"/>
  <c r="K289" i="5"/>
  <c r="J312" i="5"/>
  <c r="AG14" i="3"/>
  <c r="AG26" i="3"/>
  <c r="J265" i="5"/>
  <c r="AG28" i="3"/>
  <c r="AG11" i="3"/>
  <c r="AF27" i="3"/>
  <c r="K488" i="5"/>
  <c r="AE17" i="3"/>
  <c r="AG38" i="3"/>
  <c r="AE4" i="3"/>
  <c r="J266" i="5"/>
  <c r="K470" i="5"/>
  <c r="K437" i="5"/>
  <c r="K335" i="5"/>
  <c r="AF26" i="3"/>
  <c r="J357" i="5"/>
  <c r="J242" i="5"/>
  <c r="AF33" i="3"/>
  <c r="J289" i="5"/>
  <c r="AG10" i="3"/>
  <c r="AG30" i="3"/>
  <c r="AF15" i="3"/>
  <c r="AG18" i="3"/>
  <c r="AF10" i="3"/>
  <c r="AF11" i="3"/>
  <c r="AG29" i="3"/>
  <c r="AG24" i="3"/>
  <c r="AE18" i="3"/>
  <c r="AG6" i="3"/>
  <c r="K241" i="5"/>
  <c r="AG15" i="3"/>
  <c r="AE25" i="3"/>
  <c r="K243" i="5"/>
  <c r="AE35" i="3"/>
  <c r="AG5" i="3"/>
  <c r="K265" i="5"/>
  <c r="AG34" i="3"/>
  <c r="AG32" i="3"/>
  <c r="K380" i="5"/>
  <c r="J194" i="5"/>
  <c r="AG36" i="3"/>
  <c r="AH44" i="3"/>
  <c r="K319" i="5"/>
  <c r="K296" i="5"/>
  <c r="AG8" i="3"/>
  <c r="K456" i="5"/>
  <c r="AF34" i="3"/>
  <c r="J336" i="5"/>
  <c r="AG27" i="3"/>
  <c r="AF9" i="3"/>
  <c r="AF19" i="3"/>
  <c r="AE9" i="3"/>
  <c r="AE7" i="3"/>
  <c r="K419" i="5"/>
  <c r="K356" i="5"/>
  <c r="K472" i="5"/>
  <c r="AF24" i="3"/>
  <c r="AG7" i="3"/>
  <c r="K364" i="5"/>
  <c r="K336" i="5"/>
  <c r="K402" i="5"/>
  <c r="AE19" i="3"/>
  <c r="AE33" i="3"/>
  <c r="AE6" i="3"/>
  <c r="AE26" i="3"/>
  <c r="K399" i="5"/>
  <c r="K311" i="5"/>
  <c r="J486" i="5"/>
  <c r="AE16" i="3"/>
  <c r="K312" i="5"/>
  <c r="J381" i="5"/>
  <c r="AE20" i="3"/>
  <c r="AF7" i="3"/>
  <c r="K400" i="5"/>
  <c r="AG23" i="3"/>
  <c r="AF23" i="3"/>
  <c r="AF25" i="3"/>
  <c r="AF20" i="3"/>
  <c r="AE36" i="3"/>
  <c r="K342" i="5"/>
  <c r="AF18" i="3"/>
  <c r="AE11" i="3"/>
  <c r="AE23" i="3"/>
  <c r="AF17" i="3"/>
  <c r="AE31" i="3"/>
  <c r="AG25" i="3"/>
  <c r="AF31" i="3"/>
  <c r="AE24" i="3"/>
  <c r="AG16" i="3"/>
  <c r="AF21" i="3"/>
  <c r="AE37" i="3"/>
  <c r="AE30" i="3"/>
  <c r="AE21" i="3"/>
  <c r="J454" i="5"/>
  <c r="AG37" i="3"/>
  <c r="AF5" i="3"/>
  <c r="AE22" i="3"/>
  <c r="AG17" i="3"/>
  <c r="AG13" i="3"/>
  <c r="AF14" i="3"/>
  <c r="K272" i="5"/>
  <c r="J335" i="5"/>
  <c r="K249" i="5"/>
  <c r="AE13" i="3"/>
  <c r="E137" i="6" l="1"/>
  <c r="F167" i="6"/>
  <c r="F199" i="6"/>
  <c r="F114" i="6"/>
  <c r="E136" i="6"/>
  <c r="E157" i="6"/>
  <c r="F179" i="6"/>
  <c r="F157" i="6"/>
  <c r="F180" i="6"/>
  <c r="E108" i="6"/>
  <c r="F136" i="6"/>
  <c r="F161" i="6"/>
  <c r="F192" i="6"/>
  <c r="F146" i="6"/>
  <c r="F171" i="6"/>
  <c r="F198" i="6"/>
  <c r="L470" i="5"/>
  <c r="M470" i="5" s="1"/>
  <c r="F135" i="6"/>
  <c r="F147" i="6"/>
  <c r="E167" i="6"/>
  <c r="F201" i="6"/>
  <c r="F140" i="6"/>
  <c r="E147" i="6"/>
  <c r="F195" i="6"/>
  <c r="F212" i="6"/>
  <c r="E180" i="6"/>
  <c r="L358" i="5"/>
  <c r="M358" i="5" s="1"/>
  <c r="E199" i="6"/>
  <c r="F226" i="6"/>
  <c r="F184" i="6"/>
  <c r="F137" i="6"/>
  <c r="F151" i="6"/>
  <c r="F181" i="6"/>
  <c r="E193" i="6"/>
  <c r="E212" i="6"/>
  <c r="F124" i="6"/>
  <c r="F166" i="6"/>
  <c r="E181" i="6"/>
  <c r="F193" i="6"/>
  <c r="L313" i="5"/>
  <c r="M313" i="5" s="1"/>
  <c r="G168" i="6" s="1"/>
  <c r="E168" i="6"/>
  <c r="L454" i="5"/>
  <c r="M454" i="5" s="1"/>
  <c r="G224" i="6" s="1"/>
  <c r="E224" i="6"/>
  <c r="L472" i="5"/>
  <c r="M472" i="5" s="1"/>
  <c r="L290" i="5"/>
  <c r="M290" i="5" s="1"/>
  <c r="G158" i="6" s="1"/>
  <c r="E158" i="6"/>
  <c r="L266" i="5"/>
  <c r="M266" i="5" s="1"/>
  <c r="G148" i="6" s="1"/>
  <c r="E148" i="6"/>
  <c r="L419" i="5"/>
  <c r="M419" i="5" s="1"/>
  <c r="G205" i="6" s="1"/>
  <c r="F205" i="6"/>
  <c r="J485" i="5"/>
  <c r="J488" i="5"/>
  <c r="L488" i="5"/>
  <c r="M488" i="5" s="1"/>
  <c r="L486" i="5"/>
  <c r="M486" i="5" s="1"/>
  <c r="L485" i="5"/>
  <c r="M485" i="5" s="1"/>
  <c r="L437" i="5"/>
  <c r="M437" i="5" s="1"/>
  <c r="G212" i="6" s="1"/>
  <c r="L400" i="5"/>
  <c r="M400" i="5" s="1"/>
  <c r="G199" i="6" s="1"/>
  <c r="L381" i="5"/>
  <c r="M381" i="5" s="1"/>
  <c r="G193" i="6" s="1"/>
  <c r="L336" i="5"/>
  <c r="M336" i="5" s="1"/>
  <c r="G181" i="6" s="1"/>
  <c r="L357" i="5"/>
  <c r="M357" i="5" s="1"/>
  <c r="J356" i="5"/>
  <c r="L356" i="5" s="1"/>
  <c r="M356" i="5" s="1"/>
  <c r="J364" i="5"/>
  <c r="L364" i="5" s="1"/>
  <c r="M364" i="5" s="1"/>
  <c r="L312" i="5"/>
  <c r="M312" i="5" s="1"/>
  <c r="G167" i="6" s="1"/>
  <c r="L335" i="5"/>
  <c r="M335" i="5" s="1"/>
  <c r="G180" i="6" s="1"/>
  <c r="L289" i="5"/>
  <c r="M289" i="5" s="1"/>
  <c r="G157" i="6" s="1"/>
  <c r="L265" i="5"/>
  <c r="M265" i="5" s="1"/>
  <c r="G147" i="6" s="1"/>
  <c r="L242" i="5"/>
  <c r="M242" i="5" s="1"/>
  <c r="G136" i="6" s="1"/>
  <c r="L243" i="5"/>
  <c r="M243" i="5" s="1"/>
  <c r="G137" i="6" s="1"/>
  <c r="H223" i="5"/>
  <c r="H222" i="5"/>
  <c r="H198" i="5"/>
  <c r="H197" i="5"/>
  <c r="H167" i="5"/>
  <c r="H168" i="5"/>
  <c r="H137" i="5"/>
  <c r="H136" i="5"/>
  <c r="M196" i="1"/>
  <c r="L196" i="1" a="1"/>
  <c r="J217" i="5" a="1"/>
  <c r="J130" i="5"/>
  <c r="J200" i="5"/>
  <c r="K130" i="5"/>
  <c r="K132" i="5"/>
  <c r="J334" i="5"/>
  <c r="J139" i="5"/>
  <c r="K217" i="5"/>
  <c r="J399" i="5"/>
  <c r="J162" i="5"/>
  <c r="J380" i="5"/>
  <c r="K162" i="5"/>
  <c r="J436" i="5"/>
  <c r="E155" i="5"/>
  <c r="K195" i="5"/>
  <c r="E157" i="5"/>
  <c r="J202" i="5"/>
  <c r="J311" i="5"/>
  <c r="J163" i="5"/>
  <c r="E154" i="5"/>
  <c r="J165" i="5"/>
  <c r="K192" i="5"/>
  <c r="J421" i="5"/>
  <c r="J319" i="5"/>
  <c r="J219" i="5"/>
  <c r="K193" i="5"/>
  <c r="J170" i="5"/>
  <c r="E153" i="5"/>
  <c r="J195" i="5"/>
  <c r="K170" i="5"/>
  <c r="K194" i="5"/>
  <c r="J172" i="5"/>
  <c r="J453" i="5"/>
  <c r="J241" i="5"/>
  <c r="K219" i="5"/>
  <c r="J296" i="5"/>
  <c r="J456" i="5"/>
  <c r="J439" i="5"/>
  <c r="J132" i="5"/>
  <c r="J249" i="5"/>
  <c r="J342" i="5"/>
  <c r="K172" i="5"/>
  <c r="J192" i="5"/>
  <c r="J264" i="5"/>
  <c r="J134" i="5"/>
  <c r="J131" i="5"/>
  <c r="K165" i="5"/>
  <c r="J418" i="5"/>
  <c r="J226" i="5"/>
  <c r="J220" i="5"/>
  <c r="K133" i="5"/>
  <c r="K163" i="5"/>
  <c r="J164" i="5"/>
  <c r="J272" i="5"/>
  <c r="K218" i="5"/>
  <c r="K200" i="5"/>
  <c r="K134" i="5"/>
  <c r="J383" i="5"/>
  <c r="K164" i="5"/>
  <c r="K220" i="5"/>
  <c r="K139" i="5"/>
  <c r="K131" i="5"/>
  <c r="J133" i="5"/>
  <c r="J218" i="5"/>
  <c r="J141" i="5"/>
  <c r="J288" i="5"/>
  <c r="E156" i="5"/>
  <c r="J402" i="5"/>
  <c r="J193" i="5"/>
  <c r="K141" i="5"/>
  <c r="E121" i="6" l="1"/>
  <c r="F100" i="6"/>
  <c r="E109" i="6"/>
  <c r="F119" i="6"/>
  <c r="F80" i="6"/>
  <c r="E92" i="6"/>
  <c r="F85" i="6"/>
  <c r="F94" i="6"/>
  <c r="F121" i="6"/>
  <c r="E85" i="6"/>
  <c r="F107" i="6"/>
  <c r="F120" i="6"/>
  <c r="E79" i="6"/>
  <c r="E87" i="6"/>
  <c r="F93" i="6"/>
  <c r="F92" i="6"/>
  <c r="E112" i="6"/>
  <c r="F118" i="6"/>
  <c r="F82" i="6"/>
  <c r="E80" i="6"/>
  <c r="F95" i="6"/>
  <c r="E81" i="6"/>
  <c r="F98" i="6"/>
  <c r="E107" i="6"/>
  <c r="F106" i="6"/>
  <c r="E114" i="6"/>
  <c r="E119" i="6"/>
  <c r="F78" i="6"/>
  <c r="F87" i="6"/>
  <c r="E98" i="6"/>
  <c r="F81" i="6"/>
  <c r="E94" i="6"/>
  <c r="E106" i="6"/>
  <c r="E93" i="6"/>
  <c r="F79" i="6"/>
  <c r="E100" i="6"/>
  <c r="E78" i="6"/>
  <c r="E82" i="6"/>
  <c r="E95" i="6"/>
  <c r="F109" i="6"/>
  <c r="E120" i="6"/>
  <c r="L421" i="5"/>
  <c r="M421" i="5" s="1"/>
  <c r="G207" i="6" s="1"/>
  <c r="E207" i="6"/>
  <c r="L319" i="5"/>
  <c r="M319" i="5" s="1"/>
  <c r="G171" i="6" s="1"/>
  <c r="E171" i="6"/>
  <c r="L380" i="5"/>
  <c r="M380" i="5" s="1"/>
  <c r="G192" i="6" s="1"/>
  <c r="E192" i="6"/>
  <c r="L439" i="5"/>
  <c r="M439" i="5" s="1"/>
  <c r="G214" i="6" s="1"/>
  <c r="E214" i="6"/>
  <c r="L264" i="5"/>
  <c r="M264" i="5" s="1"/>
  <c r="G146" i="6" s="1"/>
  <c r="E146" i="6"/>
  <c r="L383" i="5"/>
  <c r="M383" i="5" s="1"/>
  <c r="G195" i="6" s="1"/>
  <c r="E195" i="6"/>
  <c r="L436" i="5"/>
  <c r="M436" i="5" s="1"/>
  <c r="G211" i="6" s="1"/>
  <c r="E211" i="6"/>
  <c r="L241" i="5"/>
  <c r="M241" i="5" s="1"/>
  <c r="G135" i="6" s="1"/>
  <c r="E135" i="6"/>
  <c r="L311" i="5"/>
  <c r="M311" i="5" s="1"/>
  <c r="G166" i="6" s="1"/>
  <c r="E166" i="6"/>
  <c r="L249" i="5"/>
  <c r="M249" i="5" s="1"/>
  <c r="G140" i="6" s="1"/>
  <c r="E140" i="6"/>
  <c r="L418" i="5"/>
  <c r="M418" i="5" s="1"/>
  <c r="G204" i="6" s="1"/>
  <c r="E204" i="6"/>
  <c r="L272" i="5"/>
  <c r="M272" i="5" s="1"/>
  <c r="G151" i="6" s="1"/>
  <c r="E151" i="6"/>
  <c r="L334" i="5"/>
  <c r="M334" i="5" s="1"/>
  <c r="G179" i="6" s="1"/>
  <c r="E179" i="6"/>
  <c r="L226" i="5"/>
  <c r="M226" i="5" s="1"/>
  <c r="G124" i="6" s="1"/>
  <c r="E124" i="6"/>
  <c r="L288" i="5"/>
  <c r="M288" i="5" s="1"/>
  <c r="G156" i="6" s="1"/>
  <c r="E156" i="6"/>
  <c r="L342" i="5"/>
  <c r="M342" i="5" s="1"/>
  <c r="G184" i="6" s="1"/>
  <c r="E184" i="6"/>
  <c r="L402" i="5"/>
  <c r="M402" i="5" s="1"/>
  <c r="G201" i="6" s="1"/>
  <c r="E201" i="6"/>
  <c r="L453" i="5"/>
  <c r="M453" i="5" s="1"/>
  <c r="G223" i="6" s="1"/>
  <c r="E223" i="6"/>
  <c r="L296" i="5"/>
  <c r="M296" i="5" s="1"/>
  <c r="G161" i="6" s="1"/>
  <c r="E161" i="6"/>
  <c r="L399" i="5"/>
  <c r="M399" i="5" s="1"/>
  <c r="G198" i="6" s="1"/>
  <c r="E198" i="6"/>
  <c r="L456" i="5"/>
  <c r="M456" i="5" s="1"/>
  <c r="G226" i="6" s="1"/>
  <c r="E226" i="6"/>
  <c r="M360" i="5"/>
  <c r="M361" i="5"/>
  <c r="L218" i="5"/>
  <c r="M218" i="5" s="1"/>
  <c r="G119" i="6" s="1"/>
  <c r="L220" i="5"/>
  <c r="M220" i="5" s="1"/>
  <c r="G121" i="6" s="1"/>
  <c r="L219" i="5"/>
  <c r="M219" i="5" s="1"/>
  <c r="G120" i="6" s="1"/>
  <c r="L202" i="5"/>
  <c r="M202" i="5" s="1"/>
  <c r="G114" i="6" s="1"/>
  <c r="L200" i="5"/>
  <c r="M200" i="5" s="1"/>
  <c r="G112" i="6" s="1"/>
  <c r="F112" i="6"/>
  <c r="L194" i="5"/>
  <c r="M194" i="5" s="1"/>
  <c r="G108" i="6" s="1"/>
  <c r="F108" i="6"/>
  <c r="L164" i="5"/>
  <c r="M164" i="5" s="1"/>
  <c r="G94" i="6" s="1"/>
  <c r="L193" i="5"/>
  <c r="M193" i="5" s="1"/>
  <c r="G107" i="6" s="1"/>
  <c r="L192" i="5"/>
  <c r="M192" i="5" s="1"/>
  <c r="G106" i="6" s="1"/>
  <c r="L195" i="5"/>
  <c r="M195" i="5" s="1"/>
  <c r="G109" i="6" s="1"/>
  <c r="L139" i="5"/>
  <c r="M139" i="5" s="1"/>
  <c r="G85" i="6" s="1"/>
  <c r="L172" i="5"/>
  <c r="M172" i="5" s="1"/>
  <c r="G100" i="6" s="1"/>
  <c r="L163" i="5"/>
  <c r="M163" i="5" s="1"/>
  <c r="G93" i="6" s="1"/>
  <c r="L165" i="5"/>
  <c r="M165" i="5" s="1"/>
  <c r="G95" i="6" s="1"/>
  <c r="L170" i="5"/>
  <c r="M170" i="5" s="1"/>
  <c r="G98" i="6" s="1"/>
  <c r="L162" i="5"/>
  <c r="M162" i="5" s="1"/>
  <c r="G92" i="6" s="1"/>
  <c r="L141" i="5"/>
  <c r="M141" i="5" s="1"/>
  <c r="G87" i="6" s="1"/>
  <c r="L132" i="5"/>
  <c r="M132" i="5" s="1"/>
  <c r="G80" i="6" s="1"/>
  <c r="L130" i="5"/>
  <c r="M130" i="5" s="1"/>
  <c r="G78" i="6" s="1"/>
  <c r="L133" i="5"/>
  <c r="M133" i="5" s="1"/>
  <c r="G81" i="6" s="1"/>
  <c r="L134" i="5"/>
  <c r="M134" i="5" s="1"/>
  <c r="G82" i="6" s="1"/>
  <c r="L131" i="5"/>
  <c r="M131" i="5" s="1"/>
  <c r="G79" i="6" s="1"/>
  <c r="L196" i="1"/>
  <c r="K196" i="1" a="1"/>
  <c r="J217" i="5"/>
  <c r="M338" i="5" l="1"/>
  <c r="M268" i="5"/>
  <c r="M269" i="5"/>
  <c r="M315" i="5"/>
  <c r="M292" i="5"/>
  <c r="M339" i="5"/>
  <c r="M293" i="5"/>
  <c r="M316" i="5"/>
  <c r="M246" i="5"/>
  <c r="M245" i="5"/>
  <c r="L217" i="5"/>
  <c r="M217" i="5" s="1"/>
  <c r="G118" i="6" s="1"/>
  <c r="E118" i="6"/>
  <c r="M198" i="5"/>
  <c r="M197" i="5"/>
  <c r="M167" i="5"/>
  <c r="M168" i="5"/>
  <c r="M137" i="5"/>
  <c r="M136" i="5"/>
  <c r="K196" i="1"/>
  <c r="J196" i="1" a="1"/>
  <c r="M222" i="5" l="1"/>
  <c r="M223" i="5"/>
  <c r="J196" i="1"/>
  <c r="I196" i="1" a="1"/>
  <c r="I196" i="1" l="1"/>
  <c r="H196" i="1" a="1"/>
  <c r="H196" i="1" l="1"/>
  <c r="G196" i="1" a="1"/>
  <c r="G196" i="1" l="1"/>
  <c r="O196" i="1" s="1"/>
  <c r="F196" i="1" a="1"/>
  <c r="F196" i="1" l="1"/>
  <c r="N195" i="1" a="1"/>
  <c r="N195" i="1" l="1"/>
  <c r="M195" i="1" a="1"/>
  <c r="M195" i="1" l="1"/>
  <c r="L195" i="1" a="1"/>
  <c r="L195" i="1" l="1"/>
  <c r="K195" i="1" a="1"/>
  <c r="K195" i="1" l="1"/>
  <c r="J195" i="1" a="1"/>
  <c r="J195" i="1" l="1"/>
  <c r="I195" i="1" a="1"/>
  <c r="I195" i="1" l="1"/>
  <c r="H195" i="1" a="1"/>
  <c r="H195" i="1" l="1"/>
  <c r="G195" i="1" a="1"/>
  <c r="G195" i="1" l="1"/>
  <c r="O195" i="1" s="1"/>
  <c r="F195" i="1" a="1"/>
  <c r="F195" i="1" l="1"/>
  <c r="N194" i="1" a="1"/>
  <c r="N194" i="1" l="1"/>
  <c r="M194" i="1" a="1"/>
  <c r="M194" i="1" l="1"/>
  <c r="L194" i="1" a="1"/>
  <c r="L194" i="1" l="1"/>
  <c r="K194" i="1" a="1"/>
  <c r="K194" i="1" l="1"/>
  <c r="J194" i="1" a="1"/>
  <c r="J194" i="1" l="1"/>
  <c r="I194" i="1" a="1"/>
  <c r="I194" i="1" l="1"/>
  <c r="H194" i="1" a="1"/>
  <c r="H194" i="1" l="1"/>
  <c r="G194" i="1" a="1"/>
  <c r="G194" i="1" l="1"/>
  <c r="O194" i="1" s="1"/>
  <c r="F194" i="1" a="1"/>
  <c r="F194" i="1" l="1"/>
  <c r="N193" i="1" a="1"/>
  <c r="N193" i="1" l="1"/>
  <c r="M193" i="1" a="1"/>
  <c r="M193" i="1" l="1"/>
  <c r="L193" i="1" a="1"/>
  <c r="L193" i="1" l="1"/>
  <c r="K193" i="1" a="1"/>
  <c r="K193" i="1" l="1"/>
  <c r="J193" i="1" a="1"/>
  <c r="J193" i="1" l="1"/>
  <c r="I193" i="1" a="1"/>
  <c r="I193" i="1" l="1"/>
  <c r="H193" i="1" a="1"/>
  <c r="H193" i="1" l="1"/>
  <c r="G193" i="1" a="1"/>
  <c r="G193" i="1" l="1"/>
  <c r="O193" i="1" s="1"/>
  <c r="F193" i="1" a="1"/>
  <c r="F193" i="1" l="1"/>
  <c r="N192" i="1" a="1"/>
  <c r="N192" i="1" l="1"/>
  <c r="M192" i="1" a="1"/>
  <c r="M192" i="1" l="1"/>
  <c r="L192" i="1" a="1"/>
  <c r="L192" i="1" l="1"/>
  <c r="K192" i="1" a="1"/>
  <c r="K192" i="1" l="1"/>
  <c r="J192" i="1" a="1"/>
  <c r="J192" i="1" l="1"/>
  <c r="I192" i="1" a="1"/>
  <c r="I192" i="1" l="1"/>
  <c r="H192" i="1" a="1"/>
  <c r="H192" i="1" l="1"/>
  <c r="G192" i="1" a="1"/>
  <c r="G192" i="1" l="1"/>
  <c r="O192" i="1" s="1"/>
  <c r="F192" i="1" a="1"/>
  <c r="F192" i="1" l="1"/>
  <c r="N191" i="1" a="1"/>
  <c r="N191" i="1" l="1"/>
  <c r="M191" i="1" a="1"/>
  <c r="M191" i="1" l="1"/>
  <c r="L191" i="1" a="1"/>
  <c r="L191" i="1" l="1"/>
  <c r="K191" i="1" a="1"/>
  <c r="K191" i="1" l="1"/>
  <c r="J191" i="1" a="1"/>
  <c r="J191" i="1" l="1"/>
  <c r="I191" i="1" a="1"/>
  <c r="I191" i="1" l="1"/>
  <c r="H191" i="1" a="1"/>
  <c r="H191" i="1" l="1"/>
  <c r="G191" i="1" a="1"/>
  <c r="G191" i="1" l="1"/>
  <c r="O191" i="1" s="1"/>
  <c r="F191" i="1" a="1"/>
  <c r="F191" i="1" l="1"/>
  <c r="N190" i="1" a="1"/>
  <c r="N190" i="1" l="1"/>
  <c r="M190" i="1" a="1"/>
  <c r="M190" i="1" l="1"/>
  <c r="L190" i="1" a="1"/>
  <c r="L190" i="1" l="1"/>
  <c r="K190" i="1" a="1"/>
  <c r="K190" i="1" l="1"/>
  <c r="J190" i="1" a="1"/>
  <c r="J190" i="1" l="1"/>
  <c r="I190" i="1" a="1"/>
  <c r="I190" i="1" l="1"/>
  <c r="H190" i="1" a="1"/>
  <c r="H190" i="1" l="1"/>
  <c r="G190" i="1" a="1"/>
  <c r="G190" i="1" l="1"/>
  <c r="O190" i="1" s="1"/>
  <c r="F190" i="1" a="1"/>
  <c r="F190" i="1" l="1"/>
  <c r="N189" i="1" a="1"/>
  <c r="N189" i="1" l="1"/>
  <c r="M189" i="1" a="1"/>
  <c r="M189" i="1" l="1"/>
  <c r="L189" i="1" a="1"/>
  <c r="L189" i="1" l="1"/>
  <c r="K189" i="1" a="1"/>
  <c r="K189" i="1" l="1"/>
  <c r="J189" i="1" a="1"/>
  <c r="J189" i="1" l="1"/>
  <c r="I189" i="1" a="1"/>
  <c r="I189" i="1" l="1"/>
  <c r="H189" i="1" a="1"/>
  <c r="H189" i="1" l="1"/>
  <c r="G189" i="1" a="1"/>
  <c r="G189" i="1" l="1"/>
  <c r="O189" i="1" s="1"/>
  <c r="F189" i="1" a="1"/>
  <c r="F189" i="1" l="1"/>
  <c r="N188" i="1" a="1"/>
  <c r="N188" i="1" l="1"/>
  <c r="M188" i="1" a="1"/>
  <c r="M188" i="1" l="1"/>
  <c r="L188" i="1" a="1"/>
  <c r="L188" i="1" l="1"/>
  <c r="K188" i="1" a="1"/>
  <c r="K188" i="1" l="1"/>
  <c r="J188" i="1" a="1"/>
  <c r="J188" i="1" l="1"/>
  <c r="I188" i="1" a="1"/>
  <c r="I188" i="1" l="1"/>
  <c r="H188" i="1" a="1"/>
  <c r="H188" i="1" l="1"/>
  <c r="G188" i="1" a="1"/>
  <c r="G188" i="1" l="1"/>
  <c r="O188" i="1" s="1"/>
  <c r="F188" i="1" a="1"/>
  <c r="F188" i="1" l="1"/>
  <c r="N187" i="1" a="1"/>
  <c r="N187" i="1" l="1"/>
  <c r="M187" i="1" a="1"/>
  <c r="M187" i="1" l="1"/>
  <c r="L187" i="1" a="1"/>
  <c r="L187" i="1" l="1"/>
  <c r="K187" i="1" a="1"/>
  <c r="K187" i="1" l="1"/>
  <c r="J187" i="1" a="1"/>
  <c r="J187" i="1" l="1"/>
  <c r="I187" i="1" a="1"/>
  <c r="I187" i="1" l="1"/>
  <c r="H187" i="1" a="1"/>
  <c r="H187" i="1" l="1"/>
  <c r="G187" i="1" a="1"/>
  <c r="G187" i="1" l="1"/>
  <c r="O187" i="1" s="1"/>
  <c r="F187" i="1" a="1"/>
  <c r="F187" i="1" l="1"/>
  <c r="N186" i="1" a="1"/>
  <c r="N186" i="1" l="1"/>
  <c r="M186" i="1" a="1"/>
  <c r="M186" i="1" l="1"/>
  <c r="L186" i="1" a="1"/>
  <c r="L186" i="1" l="1"/>
  <c r="K186" i="1" a="1"/>
  <c r="K186" i="1" l="1"/>
  <c r="J186" i="1" a="1"/>
  <c r="J186" i="1" l="1"/>
  <c r="I186" i="1" a="1"/>
  <c r="I186" i="1" l="1"/>
  <c r="H186" i="1" a="1"/>
  <c r="H186" i="1" l="1"/>
  <c r="G186" i="1" a="1"/>
  <c r="G186" i="1" l="1"/>
  <c r="O186" i="1" s="1"/>
  <c r="F186" i="1" a="1"/>
  <c r="F186" i="1" l="1"/>
  <c r="N185" i="1" a="1"/>
  <c r="N185" i="1" l="1"/>
  <c r="M185" i="1" a="1"/>
  <c r="M185" i="1" l="1"/>
  <c r="L185" i="1" a="1"/>
  <c r="L185" i="1" l="1"/>
  <c r="K185" i="1" a="1"/>
  <c r="K185" i="1" l="1"/>
  <c r="J185" i="1" a="1"/>
  <c r="J185" i="1" l="1"/>
  <c r="I185" i="1" a="1"/>
  <c r="I185" i="1" l="1"/>
  <c r="H185" i="1" a="1"/>
  <c r="H185" i="1" l="1"/>
  <c r="G185" i="1" a="1"/>
  <c r="G185" i="1" l="1"/>
  <c r="O185" i="1" s="1"/>
  <c r="F185" i="1" a="1"/>
  <c r="F185" i="1" l="1"/>
  <c r="N184" i="1" a="1"/>
  <c r="N184" i="1" l="1"/>
  <c r="M184" i="1" a="1"/>
  <c r="M184" i="1" l="1"/>
  <c r="L184" i="1" a="1"/>
  <c r="L184" i="1" l="1"/>
  <c r="K184" i="1" a="1"/>
  <c r="K184" i="1" l="1"/>
  <c r="J184" i="1" a="1"/>
  <c r="J184" i="1" l="1"/>
  <c r="I184" i="1" a="1"/>
  <c r="I184" i="1" l="1"/>
  <c r="H184" i="1" a="1"/>
  <c r="H184" i="1" l="1"/>
  <c r="G184" i="1" a="1"/>
  <c r="G184" i="1" l="1"/>
  <c r="O184" i="1" s="1"/>
  <c r="F184" i="1" a="1"/>
  <c r="F184" i="1" l="1"/>
  <c r="N183" i="1" a="1"/>
  <c r="N183" i="1" l="1"/>
  <c r="M183" i="1" a="1"/>
  <c r="M183" i="1" l="1"/>
  <c r="L183" i="1" a="1"/>
  <c r="L183" i="1" l="1"/>
  <c r="K183" i="1" a="1"/>
  <c r="K183" i="1" l="1"/>
  <c r="J183" i="1" a="1"/>
  <c r="J183" i="1" l="1"/>
  <c r="I183" i="1" a="1"/>
  <c r="I183" i="1" l="1"/>
  <c r="H183" i="1" a="1"/>
  <c r="H183" i="1" l="1"/>
  <c r="G183" i="1" a="1"/>
  <c r="G183" i="1" l="1"/>
  <c r="O183" i="1" s="1"/>
  <c r="F183" i="1" a="1"/>
  <c r="F183" i="1" l="1"/>
  <c r="N182" i="1" a="1"/>
  <c r="N182" i="1" l="1"/>
  <c r="M182" i="1" a="1"/>
  <c r="M182" i="1" l="1"/>
  <c r="L182" i="1" a="1"/>
  <c r="L182" i="1" l="1"/>
  <c r="K182" i="1" a="1"/>
  <c r="K182" i="1" l="1"/>
  <c r="J182" i="1" a="1"/>
  <c r="J182" i="1" l="1"/>
  <c r="I182" i="1" a="1"/>
  <c r="I182" i="1" l="1"/>
  <c r="H182" i="1" a="1"/>
  <c r="H182" i="1" l="1"/>
  <c r="G182" i="1" a="1"/>
  <c r="G182" i="1" l="1"/>
  <c r="O182" i="1" s="1"/>
  <c r="F182" i="1" a="1"/>
  <c r="F182" i="1" l="1"/>
  <c r="N181" i="1" a="1"/>
  <c r="N181" i="1" l="1"/>
  <c r="M181" i="1" a="1"/>
  <c r="M181" i="1" l="1"/>
  <c r="L181" i="1" a="1"/>
  <c r="L181" i="1" l="1"/>
  <c r="K181" i="1" a="1"/>
  <c r="K181" i="1" l="1"/>
  <c r="J181" i="1" a="1"/>
  <c r="J181" i="1" l="1"/>
  <c r="I181" i="1" a="1"/>
  <c r="I181" i="1" l="1"/>
  <c r="H181" i="1" a="1"/>
  <c r="H181" i="1" l="1"/>
  <c r="G181" i="1" a="1"/>
  <c r="G181" i="1" l="1"/>
  <c r="O181" i="1" s="1"/>
  <c r="F181" i="1" a="1"/>
  <c r="F181" i="1" l="1"/>
  <c r="N180" i="1" a="1"/>
  <c r="N180" i="1" l="1"/>
  <c r="M180" i="1" a="1"/>
  <c r="M180" i="1" l="1"/>
  <c r="L180" i="1" a="1"/>
  <c r="L180" i="1" l="1"/>
  <c r="K180" i="1" a="1"/>
  <c r="K180" i="1" l="1"/>
  <c r="J180" i="1" a="1"/>
  <c r="J180" i="1" l="1"/>
  <c r="I180" i="1" a="1"/>
  <c r="I180" i="1" l="1"/>
  <c r="H180" i="1" a="1"/>
  <c r="H180" i="1" l="1"/>
  <c r="G180" i="1" a="1"/>
  <c r="G180" i="1" l="1"/>
  <c r="O180" i="1" s="1"/>
  <c r="F180" i="1" a="1"/>
  <c r="F180" i="1" l="1"/>
  <c r="N179" i="1" a="1"/>
  <c r="N179" i="1" l="1"/>
  <c r="M179" i="1" a="1"/>
  <c r="M179" i="1" l="1"/>
  <c r="L179" i="1" a="1"/>
  <c r="L179" i="1" l="1"/>
  <c r="K179" i="1" a="1"/>
  <c r="K179" i="1" l="1"/>
  <c r="J179" i="1" a="1"/>
  <c r="J179" i="1" l="1"/>
  <c r="I179" i="1" a="1"/>
  <c r="I179" i="1" l="1"/>
  <c r="H179" i="1" a="1"/>
  <c r="H179" i="1" l="1"/>
  <c r="G179" i="1" a="1"/>
  <c r="G179" i="1" l="1"/>
  <c r="O179" i="1" s="1"/>
  <c r="F179" i="1" a="1"/>
  <c r="F179" i="1" l="1"/>
  <c r="N178" i="1" a="1"/>
  <c r="N178" i="1" l="1"/>
  <c r="M178" i="1" a="1"/>
  <c r="M178" i="1" l="1"/>
  <c r="L178" i="1" a="1"/>
  <c r="L178" i="1" l="1"/>
  <c r="K178" i="1" a="1"/>
  <c r="K178" i="1" l="1"/>
  <c r="J178" i="1" a="1"/>
  <c r="J178" i="1" l="1"/>
  <c r="I178" i="1" a="1"/>
  <c r="I178" i="1" l="1"/>
  <c r="H178" i="1" a="1"/>
  <c r="H178" i="1" l="1"/>
  <c r="G178" i="1" a="1"/>
  <c r="G178" i="1" l="1"/>
  <c r="O178" i="1" s="1"/>
  <c r="F178" i="1" a="1"/>
  <c r="F178" i="1" l="1"/>
  <c r="N177" i="1" a="1"/>
  <c r="N177" i="1" l="1"/>
  <c r="M177" i="1" a="1"/>
  <c r="M177" i="1" l="1"/>
  <c r="L177" i="1" a="1"/>
  <c r="L177" i="1" l="1"/>
  <c r="K177" i="1" a="1"/>
  <c r="K177" i="1" l="1"/>
  <c r="J177" i="1" a="1"/>
  <c r="J177" i="1" l="1"/>
  <c r="I177" i="1" a="1"/>
  <c r="I177" i="1" l="1"/>
  <c r="H177" i="1" a="1"/>
  <c r="H177" i="1" l="1"/>
  <c r="G177" i="1" a="1"/>
  <c r="G177" i="1" l="1"/>
  <c r="O177" i="1" s="1"/>
  <c r="F177" i="1" a="1"/>
  <c r="F177" i="1" l="1"/>
  <c r="N176" i="1" a="1"/>
  <c r="N176" i="1" l="1"/>
  <c r="M176" i="1" a="1"/>
  <c r="M176" i="1" l="1"/>
  <c r="L176" i="1" a="1"/>
  <c r="L176" i="1" l="1"/>
  <c r="K176" i="1" a="1"/>
  <c r="K176" i="1" l="1"/>
  <c r="J176" i="1" a="1"/>
  <c r="J176" i="1" l="1"/>
  <c r="I176" i="1" a="1"/>
  <c r="I176" i="1" l="1"/>
  <c r="H176" i="1" a="1"/>
  <c r="H176" i="1" l="1"/>
  <c r="G176" i="1" a="1"/>
  <c r="G176" i="1" l="1"/>
  <c r="O176" i="1" s="1"/>
  <c r="F176" i="1" a="1"/>
  <c r="F176" i="1" l="1"/>
  <c r="N175" i="1" a="1"/>
  <c r="N175" i="1" l="1"/>
  <c r="M175" i="1" a="1"/>
  <c r="M175" i="1" l="1"/>
  <c r="L175" i="1" a="1"/>
  <c r="L175" i="1" l="1"/>
  <c r="K175" i="1" a="1"/>
  <c r="K175" i="1" l="1"/>
  <c r="J175" i="1" a="1"/>
  <c r="J175" i="1" l="1"/>
  <c r="I175" i="1" a="1"/>
  <c r="I175" i="1" l="1"/>
  <c r="H175" i="1" a="1"/>
  <c r="H175" i="1" l="1"/>
  <c r="G175" i="1" a="1"/>
  <c r="G175" i="1" l="1"/>
  <c r="O175" i="1" s="1"/>
  <c r="F175" i="1" a="1"/>
  <c r="F175" i="1" l="1"/>
  <c r="N174" i="1" a="1"/>
  <c r="N174" i="1" l="1"/>
  <c r="M174" i="1" a="1"/>
  <c r="M174" i="1" l="1"/>
  <c r="L174" i="1" a="1"/>
  <c r="L174" i="1" l="1"/>
  <c r="K174" i="1" a="1"/>
  <c r="K174" i="1" l="1"/>
  <c r="J174" i="1" a="1"/>
  <c r="J174" i="1" l="1"/>
  <c r="I174" i="1" a="1"/>
  <c r="I174" i="1" l="1"/>
  <c r="H174" i="1" a="1"/>
  <c r="H174" i="1" l="1"/>
  <c r="G174" i="1" a="1"/>
  <c r="G174" i="1" l="1"/>
  <c r="O174" i="1" s="1"/>
  <c r="F174" i="1" a="1"/>
  <c r="F174" i="1" l="1"/>
  <c r="N173" i="1" a="1"/>
  <c r="N173" i="1" l="1"/>
  <c r="M173" i="1" a="1"/>
  <c r="M173" i="1" l="1"/>
  <c r="L173" i="1" a="1"/>
  <c r="L173" i="1" l="1"/>
  <c r="K173" i="1" a="1"/>
  <c r="K173" i="1" l="1"/>
  <c r="J173" i="1" a="1"/>
  <c r="J173" i="1" l="1"/>
  <c r="I173" i="1" a="1"/>
  <c r="I173" i="1" l="1"/>
  <c r="H173" i="1" a="1"/>
  <c r="H173" i="1" l="1"/>
  <c r="G173" i="1" a="1"/>
  <c r="G173" i="1" l="1"/>
  <c r="O173" i="1" s="1"/>
  <c r="F173" i="1" a="1"/>
  <c r="F173" i="1" l="1"/>
  <c r="N172" i="1" a="1"/>
  <c r="N172" i="1" l="1"/>
  <c r="M172" i="1" a="1"/>
  <c r="M172" i="1" l="1"/>
  <c r="L172" i="1" a="1"/>
  <c r="L172" i="1" l="1"/>
  <c r="K172" i="1" a="1"/>
  <c r="K172" i="1" l="1"/>
  <c r="J172" i="1" a="1"/>
  <c r="J172" i="1" l="1"/>
  <c r="I172" i="1" a="1"/>
  <c r="I172" i="1" l="1"/>
  <c r="H172" i="1" a="1"/>
  <c r="H172" i="1" l="1"/>
  <c r="G172" i="1" a="1"/>
  <c r="G172" i="1" l="1"/>
  <c r="O172" i="1" s="1"/>
  <c r="F172" i="1" a="1"/>
  <c r="F172" i="1" l="1"/>
  <c r="N171" i="1" a="1"/>
  <c r="N171" i="1" l="1"/>
  <c r="M171" i="1" a="1"/>
  <c r="M171" i="1" l="1"/>
  <c r="L171" i="1" a="1"/>
  <c r="L171" i="1" l="1"/>
  <c r="K171" i="1" a="1"/>
  <c r="K171" i="1" l="1"/>
  <c r="J171" i="1" a="1"/>
  <c r="J171" i="1" l="1"/>
  <c r="I171" i="1" a="1"/>
  <c r="I171" i="1" l="1"/>
  <c r="H171" i="1" a="1"/>
  <c r="H171" i="1" l="1"/>
  <c r="G171" i="1" a="1"/>
  <c r="G171" i="1" l="1"/>
  <c r="O171" i="1" s="1"/>
  <c r="F171" i="1" a="1"/>
  <c r="F171" i="1" l="1"/>
  <c r="N170" i="1" a="1"/>
  <c r="N170" i="1" l="1"/>
  <c r="M170" i="1" a="1"/>
  <c r="M170" i="1" l="1"/>
  <c r="L170" i="1" a="1"/>
  <c r="L170" i="1" l="1"/>
  <c r="K170" i="1" a="1"/>
  <c r="K170" i="1" l="1"/>
  <c r="J170" i="1" a="1"/>
  <c r="J170" i="1" l="1"/>
  <c r="I170" i="1" a="1"/>
  <c r="I170" i="1" l="1"/>
  <c r="H170" i="1" a="1"/>
  <c r="H170" i="1" l="1"/>
  <c r="G170" i="1" a="1"/>
  <c r="G170" i="1" l="1"/>
  <c r="O170" i="1" s="1"/>
  <c r="F170" i="1" a="1"/>
  <c r="F170" i="1" l="1"/>
  <c r="N169" i="1" a="1"/>
  <c r="N169" i="1" l="1"/>
  <c r="M169" i="1" a="1"/>
  <c r="M169" i="1" l="1"/>
  <c r="L169" i="1" a="1"/>
  <c r="L169" i="1" l="1"/>
  <c r="K169" i="1" a="1"/>
  <c r="K169" i="1" l="1"/>
  <c r="J169" i="1" a="1"/>
  <c r="J169" i="1" l="1"/>
  <c r="I169" i="1" a="1"/>
  <c r="I169" i="1" l="1"/>
  <c r="H169" i="1" a="1"/>
  <c r="H169" i="1" l="1"/>
  <c r="G169" i="1" a="1"/>
  <c r="G169" i="1" l="1"/>
  <c r="O169" i="1" s="1"/>
  <c r="F169" i="1" a="1"/>
  <c r="F169" i="1" l="1"/>
  <c r="N168" i="1" a="1"/>
  <c r="N168" i="1" l="1"/>
  <c r="M168" i="1" a="1"/>
  <c r="M168" i="1" l="1"/>
  <c r="L168" i="1" a="1"/>
  <c r="L168" i="1" l="1"/>
  <c r="K168" i="1" a="1"/>
  <c r="K168" i="1" l="1"/>
  <c r="J168" i="1" a="1"/>
  <c r="J168" i="1" l="1"/>
  <c r="I168" i="1" a="1"/>
  <c r="I168" i="1" l="1"/>
  <c r="H168" i="1" a="1"/>
  <c r="H168" i="1" l="1"/>
  <c r="G168" i="1" a="1"/>
  <c r="G168" i="1" l="1"/>
  <c r="O168" i="1" s="1"/>
  <c r="F168" i="1" a="1"/>
  <c r="F168" i="1" l="1"/>
  <c r="N167" i="1" a="1"/>
  <c r="N167" i="1" l="1"/>
  <c r="M167" i="1" a="1"/>
  <c r="M167" i="1" l="1"/>
  <c r="L167" i="1" a="1"/>
  <c r="L167" i="1" l="1"/>
  <c r="K167" i="1" a="1"/>
  <c r="K167" i="1" l="1"/>
  <c r="J167" i="1" a="1"/>
  <c r="J167" i="1" l="1"/>
  <c r="I167" i="1" a="1"/>
  <c r="I167" i="1" l="1"/>
  <c r="H167" i="1" a="1"/>
  <c r="H167" i="1" l="1"/>
  <c r="G167" i="1" a="1"/>
  <c r="G167" i="1" l="1"/>
  <c r="O167" i="1" s="1"/>
  <c r="F167" i="1" a="1"/>
  <c r="F167" i="1" l="1"/>
  <c r="N166" i="1" a="1"/>
  <c r="N166" i="1" l="1"/>
  <c r="M166" i="1" a="1"/>
  <c r="M166" i="1" l="1"/>
  <c r="L166" i="1" a="1"/>
  <c r="L166" i="1" l="1"/>
  <c r="K166" i="1" a="1"/>
  <c r="K166" i="1" l="1"/>
  <c r="J166" i="1" a="1"/>
  <c r="J166" i="1" l="1"/>
  <c r="I166" i="1" a="1"/>
  <c r="I166" i="1" l="1"/>
  <c r="H166" i="1" a="1"/>
  <c r="H166" i="1" l="1"/>
  <c r="G166" i="1" a="1"/>
  <c r="G166" i="1" l="1"/>
  <c r="O166" i="1" s="1"/>
  <c r="F166" i="1" a="1"/>
  <c r="F166" i="1" l="1"/>
  <c r="N165" i="1" a="1"/>
  <c r="N165" i="1" l="1"/>
  <c r="M165" i="1" a="1"/>
  <c r="M165" i="1" l="1"/>
  <c r="L165" i="1" a="1"/>
  <c r="L165" i="1" l="1"/>
  <c r="K165" i="1" a="1"/>
  <c r="K165" i="1" l="1"/>
  <c r="J165" i="1" a="1"/>
  <c r="J165" i="1" l="1"/>
  <c r="I165" i="1" a="1"/>
  <c r="I165" i="1" l="1"/>
  <c r="H165" i="1" a="1"/>
  <c r="H165" i="1" l="1"/>
  <c r="G165" i="1" a="1"/>
  <c r="G165" i="1" l="1"/>
  <c r="O165" i="1" s="1"/>
  <c r="F165" i="1" a="1"/>
  <c r="F165" i="1" l="1"/>
  <c r="N164" i="1" a="1"/>
  <c r="N164" i="1" l="1"/>
  <c r="M164" i="1" a="1"/>
  <c r="M164" i="1" l="1"/>
  <c r="L164" i="1" a="1"/>
  <c r="L164" i="1" l="1"/>
  <c r="K164" i="1" a="1"/>
  <c r="K164" i="1" l="1"/>
  <c r="J164" i="1" a="1"/>
  <c r="J164" i="1" l="1"/>
  <c r="I164" i="1" a="1"/>
  <c r="I164" i="1" l="1"/>
  <c r="H164" i="1" a="1"/>
  <c r="H164" i="1" l="1"/>
  <c r="G164" i="1" a="1"/>
  <c r="G164" i="1" l="1"/>
  <c r="O164" i="1" s="1"/>
  <c r="F164" i="1" a="1"/>
  <c r="F164" i="1" l="1"/>
  <c r="N163" i="1" a="1"/>
  <c r="N163" i="1" l="1"/>
  <c r="M163" i="1" a="1"/>
  <c r="M163" i="1" l="1"/>
  <c r="L163" i="1" a="1"/>
  <c r="L163" i="1" l="1"/>
  <c r="K163" i="1" a="1"/>
  <c r="K163" i="1" l="1"/>
  <c r="J163" i="1" a="1"/>
  <c r="J163" i="1" l="1"/>
  <c r="I163" i="1" a="1"/>
  <c r="I163" i="1" l="1"/>
  <c r="H163" i="1" a="1"/>
  <c r="H163" i="1" l="1"/>
  <c r="G163" i="1" a="1"/>
  <c r="G163" i="1" l="1"/>
  <c r="O163" i="1" s="1"/>
  <c r="F163" i="1" a="1"/>
  <c r="F163" i="1" l="1"/>
  <c r="N162" i="1" a="1"/>
  <c r="N162" i="1" l="1"/>
  <c r="M162" i="1" a="1"/>
  <c r="M162" i="1" l="1"/>
  <c r="L162" i="1" a="1"/>
  <c r="L162" i="1" l="1"/>
  <c r="K162" i="1" a="1"/>
  <c r="K162" i="1" l="1"/>
  <c r="J162" i="1" a="1"/>
  <c r="J162" i="1" l="1"/>
  <c r="I162" i="1" a="1"/>
  <c r="I162" i="1" l="1"/>
  <c r="H162" i="1" a="1"/>
  <c r="H162" i="1" l="1"/>
  <c r="G162" i="1" a="1"/>
  <c r="G162" i="1" l="1"/>
  <c r="O162" i="1" s="1"/>
  <c r="F162" i="1" a="1"/>
  <c r="F162" i="1" l="1"/>
  <c r="N161" i="1" a="1"/>
  <c r="N161" i="1" l="1"/>
  <c r="M161" i="1" a="1"/>
  <c r="M161" i="1" l="1"/>
  <c r="L161" i="1" a="1"/>
  <c r="L161" i="1" l="1"/>
  <c r="K161" i="1" a="1"/>
  <c r="K161" i="1" l="1"/>
  <c r="J161" i="1" a="1"/>
  <c r="J161" i="1" l="1"/>
  <c r="I161" i="1" a="1"/>
  <c r="I161" i="1" l="1"/>
  <c r="H161" i="1" a="1"/>
  <c r="H161" i="1" l="1"/>
  <c r="G161" i="1" a="1"/>
  <c r="G161" i="1" l="1"/>
  <c r="O161" i="1" s="1"/>
  <c r="F161" i="1" a="1"/>
  <c r="F161" i="1" l="1"/>
  <c r="N160" i="1" a="1"/>
  <c r="N160" i="1" l="1"/>
  <c r="M160" i="1" a="1"/>
  <c r="M160" i="1" l="1"/>
  <c r="L160" i="1" a="1"/>
  <c r="L160" i="1" l="1"/>
  <c r="K160" i="1" a="1"/>
  <c r="K160" i="1" l="1"/>
  <c r="J160" i="1" a="1"/>
  <c r="J160" i="1" l="1"/>
  <c r="I160" i="1" a="1"/>
  <c r="I160" i="1" l="1"/>
  <c r="H160" i="1" a="1"/>
  <c r="H160" i="1" l="1"/>
  <c r="G160" i="1" a="1"/>
  <c r="G160" i="1" l="1"/>
  <c r="O160" i="1" s="1"/>
  <c r="F160" i="1" a="1"/>
  <c r="F160" i="1" l="1"/>
  <c r="N159" i="1" a="1"/>
  <c r="N159" i="1" l="1"/>
  <c r="M159" i="1" a="1"/>
  <c r="M159" i="1" l="1"/>
  <c r="L159" i="1" a="1"/>
  <c r="L159" i="1" l="1"/>
  <c r="K159" i="1" a="1"/>
  <c r="K159" i="1" l="1"/>
  <c r="J159" i="1" a="1"/>
  <c r="J159" i="1" l="1"/>
  <c r="I159" i="1" a="1"/>
  <c r="I159" i="1" l="1"/>
  <c r="H159" i="1" a="1"/>
  <c r="H159" i="1" l="1"/>
  <c r="G159" i="1" a="1"/>
  <c r="G159" i="1" l="1"/>
  <c r="O159" i="1" s="1"/>
  <c r="F159" i="1" a="1"/>
  <c r="F159" i="1" l="1"/>
  <c r="N158" i="1" a="1"/>
  <c r="N158" i="1" l="1"/>
  <c r="M158" i="1" a="1"/>
  <c r="M158" i="1" l="1"/>
  <c r="L158" i="1" a="1"/>
  <c r="L158" i="1" l="1"/>
  <c r="K158" i="1" a="1"/>
  <c r="K158" i="1" l="1"/>
  <c r="J158" i="1" a="1"/>
  <c r="J158" i="1" l="1"/>
  <c r="I158" i="1" a="1"/>
  <c r="I158" i="1" l="1"/>
  <c r="H158" i="1" a="1"/>
  <c r="H158" i="1" l="1"/>
  <c r="G158" i="1" a="1"/>
  <c r="G158" i="1" l="1"/>
  <c r="O158" i="1" s="1"/>
  <c r="F158" i="1" a="1"/>
  <c r="F158" i="1" l="1"/>
  <c r="N157" i="1" a="1"/>
  <c r="N157" i="1" l="1"/>
  <c r="M157" i="1" a="1"/>
  <c r="M157" i="1" l="1"/>
  <c r="L157" i="1" a="1"/>
  <c r="L157" i="1" l="1"/>
  <c r="K157" i="1" a="1"/>
  <c r="K157" i="1" l="1"/>
  <c r="J157" i="1" a="1"/>
  <c r="J157" i="1" l="1"/>
  <c r="I157" i="1" a="1"/>
  <c r="I157" i="1" l="1"/>
  <c r="H157" i="1" a="1"/>
  <c r="H157" i="1" l="1"/>
  <c r="G157" i="1" a="1"/>
  <c r="G157" i="1" l="1"/>
  <c r="O157" i="1" s="1"/>
  <c r="F157" i="1" a="1"/>
  <c r="F157" i="1" l="1"/>
  <c r="N156" i="1" a="1"/>
  <c r="N156" i="1" l="1"/>
  <c r="M156" i="1" a="1"/>
  <c r="M156" i="1" l="1"/>
  <c r="L156" i="1" a="1"/>
  <c r="L156" i="1" l="1"/>
  <c r="K156" i="1" a="1"/>
  <c r="K156" i="1" l="1"/>
  <c r="J156" i="1" a="1"/>
  <c r="J156" i="1" l="1"/>
  <c r="I156" i="1" a="1"/>
  <c r="I156" i="1" l="1"/>
  <c r="H156" i="1" a="1"/>
  <c r="H156" i="1" l="1"/>
  <c r="G156" i="1" a="1"/>
  <c r="G156" i="1" l="1"/>
  <c r="O156" i="1" s="1"/>
  <c r="F156" i="1" a="1"/>
  <c r="F156" i="1" l="1"/>
  <c r="N155" i="1" a="1"/>
  <c r="N155" i="1" l="1"/>
  <c r="M155" i="1" a="1"/>
  <c r="M155" i="1" l="1"/>
  <c r="L155" i="1" a="1"/>
  <c r="L155" i="1" l="1"/>
  <c r="K155" i="1" a="1"/>
  <c r="K155" i="1" l="1"/>
  <c r="J155" i="1" a="1"/>
  <c r="J155" i="1" l="1"/>
  <c r="I155" i="1" a="1"/>
  <c r="I155" i="1" l="1"/>
  <c r="H155" i="1" a="1"/>
  <c r="H155" i="1" l="1"/>
  <c r="G155" i="1" a="1"/>
  <c r="G155" i="1" l="1"/>
  <c r="O155" i="1" s="1"/>
  <c r="F155" i="1" a="1"/>
  <c r="F155" i="1" l="1"/>
  <c r="N154" i="1" a="1"/>
  <c r="N154" i="1" l="1"/>
  <c r="M154" i="1" a="1"/>
  <c r="M154" i="1" l="1"/>
  <c r="L154" i="1" a="1"/>
  <c r="L154" i="1" l="1"/>
  <c r="K154" i="1" a="1"/>
  <c r="K154" i="1" l="1"/>
  <c r="J154" i="1" a="1"/>
  <c r="J154" i="1" l="1"/>
  <c r="I154" i="1" a="1"/>
  <c r="I154" i="1" l="1"/>
  <c r="H154" i="1" a="1"/>
  <c r="H154" i="1" l="1"/>
  <c r="G154" i="1" a="1"/>
  <c r="G154" i="1" l="1"/>
  <c r="O154" i="1" s="1"/>
  <c r="F154" i="1" a="1"/>
  <c r="F154" i="1" l="1"/>
  <c r="N153" i="1" a="1"/>
  <c r="N153" i="1" l="1"/>
  <c r="M153" i="1" a="1"/>
  <c r="M153" i="1" l="1"/>
  <c r="L153" i="1" a="1"/>
  <c r="L153" i="1" l="1"/>
  <c r="K153" i="1" a="1"/>
  <c r="K153" i="1" l="1"/>
  <c r="J153" i="1" a="1"/>
  <c r="J153" i="1" l="1"/>
  <c r="I153" i="1" a="1"/>
  <c r="I153" i="1" l="1"/>
  <c r="H153" i="1" a="1"/>
  <c r="H153" i="1" l="1"/>
  <c r="G153" i="1" a="1"/>
  <c r="G153" i="1" l="1"/>
  <c r="O153" i="1" s="1"/>
  <c r="F153" i="1" a="1"/>
  <c r="F153" i="1" l="1"/>
  <c r="N152" i="1" a="1"/>
  <c r="N152" i="1" l="1"/>
  <c r="M152" i="1" a="1"/>
  <c r="M152" i="1" l="1"/>
  <c r="L152" i="1" a="1"/>
  <c r="L152" i="1" l="1"/>
  <c r="K152" i="1" a="1"/>
  <c r="K152" i="1" l="1"/>
  <c r="J152" i="1" a="1"/>
  <c r="J152" i="1" l="1"/>
  <c r="I152" i="1" a="1"/>
  <c r="I152" i="1" l="1"/>
  <c r="H152" i="1" a="1"/>
  <c r="H152" i="1" l="1"/>
  <c r="G152" i="1" a="1"/>
  <c r="G152" i="1" l="1"/>
  <c r="O152" i="1" s="1"/>
  <c r="F152" i="1" a="1"/>
  <c r="F152" i="1" l="1"/>
  <c r="N151" i="1" a="1"/>
  <c r="N151" i="1" l="1"/>
  <c r="M151" i="1" a="1"/>
  <c r="M151" i="1" l="1"/>
  <c r="L151" i="1" a="1"/>
  <c r="L151" i="1" l="1"/>
  <c r="K151" i="1" a="1"/>
  <c r="K151" i="1" l="1"/>
  <c r="J151" i="1" a="1"/>
  <c r="J151" i="1" l="1"/>
  <c r="I151" i="1" a="1"/>
  <c r="I151" i="1" l="1"/>
  <c r="H151" i="1" a="1"/>
  <c r="H151" i="1" l="1"/>
  <c r="G151" i="1" a="1"/>
  <c r="G151" i="1" l="1"/>
  <c r="O151" i="1" s="1"/>
  <c r="F151" i="1" a="1"/>
  <c r="F151" i="1" l="1"/>
  <c r="N150" i="1" a="1"/>
  <c r="N150" i="1" l="1"/>
  <c r="M150" i="1" a="1"/>
  <c r="M150" i="1" l="1"/>
  <c r="L150" i="1" a="1"/>
  <c r="L150" i="1" l="1"/>
  <c r="K150" i="1" a="1"/>
  <c r="K150" i="1" l="1"/>
  <c r="J150" i="1" a="1"/>
  <c r="J150" i="1" l="1"/>
  <c r="I150" i="1" a="1"/>
  <c r="I150" i="1" l="1"/>
  <c r="H150" i="1" a="1"/>
  <c r="H150" i="1" l="1"/>
  <c r="G150" i="1" a="1"/>
  <c r="G150" i="1" l="1"/>
  <c r="O150" i="1" s="1"/>
  <c r="F150" i="1" a="1"/>
  <c r="F150" i="1" l="1"/>
  <c r="N149" i="1" a="1"/>
  <c r="N149" i="1" l="1"/>
  <c r="M149" i="1" a="1"/>
  <c r="M149" i="1" l="1"/>
  <c r="L149" i="1" a="1"/>
  <c r="L149" i="1" l="1"/>
  <c r="K149" i="1" a="1"/>
  <c r="K149" i="1" l="1"/>
  <c r="J149" i="1" a="1"/>
  <c r="J149" i="1" l="1"/>
  <c r="I149" i="1" a="1"/>
  <c r="I149" i="1" l="1"/>
  <c r="H149" i="1" a="1"/>
  <c r="H149" i="1" l="1"/>
  <c r="G149" i="1" a="1"/>
  <c r="G149" i="1" l="1"/>
  <c r="O149" i="1" s="1"/>
  <c r="F149" i="1" a="1"/>
  <c r="F149" i="1" l="1"/>
  <c r="N148" i="1" a="1"/>
  <c r="N148" i="1" l="1"/>
  <c r="M148" i="1" a="1"/>
  <c r="M148" i="1" l="1"/>
  <c r="L148" i="1" a="1"/>
  <c r="L148" i="1" l="1"/>
  <c r="K148" i="1" a="1"/>
  <c r="K148" i="1" l="1"/>
  <c r="J148" i="1" a="1"/>
  <c r="J148" i="1" l="1"/>
  <c r="I148" i="1" a="1"/>
  <c r="I148" i="1" l="1"/>
  <c r="H148" i="1" a="1"/>
  <c r="H148" i="1" l="1"/>
  <c r="G148" i="1" a="1"/>
  <c r="G148" i="1" l="1"/>
  <c r="O148" i="1" s="1"/>
  <c r="F148" i="1" a="1"/>
  <c r="F148" i="1" l="1"/>
  <c r="N147" i="1" a="1"/>
  <c r="N147" i="1" l="1"/>
  <c r="M147" i="1" a="1"/>
  <c r="M147" i="1" l="1"/>
  <c r="L147" i="1" a="1"/>
  <c r="L147" i="1" l="1"/>
  <c r="K147" i="1" a="1"/>
  <c r="K147" i="1" l="1"/>
  <c r="J147" i="1" a="1"/>
  <c r="J147" i="1" l="1"/>
  <c r="I147" i="1" a="1"/>
  <c r="I147" i="1" l="1"/>
  <c r="H147" i="1" a="1"/>
  <c r="H147" i="1" l="1"/>
  <c r="G147" i="1" a="1"/>
  <c r="G147" i="1" l="1"/>
  <c r="O147" i="1" s="1"/>
  <c r="F147" i="1" a="1"/>
  <c r="F147" i="1" l="1"/>
  <c r="N146" i="1" a="1"/>
  <c r="N146" i="1" l="1"/>
  <c r="M146" i="1" a="1"/>
  <c r="M146" i="1" l="1"/>
  <c r="L146" i="1" a="1"/>
  <c r="L146" i="1" l="1"/>
  <c r="K146" i="1" a="1"/>
  <c r="K146" i="1" l="1"/>
  <c r="J146" i="1" a="1"/>
  <c r="J146" i="1" l="1"/>
  <c r="I146" i="1" a="1"/>
  <c r="I146" i="1" l="1"/>
  <c r="H146" i="1" a="1"/>
  <c r="H146" i="1" l="1"/>
  <c r="G146" i="1" a="1"/>
  <c r="G146" i="1" l="1"/>
  <c r="O146" i="1" s="1"/>
  <c r="F146" i="1" a="1"/>
  <c r="F146" i="1" l="1"/>
  <c r="N145" i="1" a="1"/>
  <c r="N145" i="1" l="1"/>
  <c r="M145" i="1" a="1"/>
  <c r="M145" i="1" l="1"/>
  <c r="L145" i="1" a="1"/>
  <c r="L145" i="1" l="1"/>
  <c r="K145" i="1" a="1"/>
  <c r="K145" i="1" l="1"/>
  <c r="J145" i="1" a="1"/>
  <c r="J145" i="1" l="1"/>
  <c r="I145" i="1" a="1"/>
  <c r="I145" i="1" l="1"/>
  <c r="H145" i="1" a="1"/>
  <c r="H145" i="1" l="1"/>
  <c r="G145" i="1" a="1"/>
  <c r="G145" i="1" l="1"/>
  <c r="O145" i="1" s="1"/>
  <c r="F145" i="1" a="1"/>
  <c r="F145" i="1" l="1"/>
  <c r="N144" i="1" a="1"/>
  <c r="N144" i="1" l="1"/>
  <c r="M144" i="1" a="1"/>
  <c r="M144" i="1" l="1"/>
  <c r="L144" i="1" a="1"/>
  <c r="L144" i="1" l="1"/>
  <c r="K144" i="1" a="1"/>
  <c r="K144" i="1" l="1"/>
  <c r="J144" i="1" a="1"/>
  <c r="J144" i="1" l="1"/>
  <c r="I144" i="1" a="1"/>
  <c r="I144" i="1" l="1"/>
  <c r="H144" i="1" a="1"/>
  <c r="H144" i="1" l="1"/>
  <c r="G144" i="1" a="1"/>
  <c r="G144" i="1" l="1"/>
  <c r="O144" i="1" s="1"/>
  <c r="F144" i="1" a="1"/>
  <c r="F144" i="1" l="1"/>
  <c r="N143" i="1" a="1"/>
  <c r="N143" i="1" l="1"/>
  <c r="M143" i="1" a="1"/>
  <c r="M143" i="1" l="1"/>
  <c r="L143" i="1" a="1"/>
  <c r="L143" i="1" l="1"/>
  <c r="K143" i="1" a="1"/>
  <c r="K143" i="1" l="1"/>
  <c r="J143" i="1" a="1"/>
  <c r="J143" i="1" l="1"/>
  <c r="I143" i="1" a="1"/>
  <c r="I143" i="1" l="1"/>
  <c r="H143" i="1" a="1"/>
  <c r="H143" i="1" l="1"/>
  <c r="G143" i="1" a="1"/>
  <c r="G143" i="1" l="1"/>
  <c r="O143" i="1" s="1"/>
  <c r="F143" i="1" a="1"/>
  <c r="F143" i="1" l="1"/>
  <c r="N142" i="1" a="1"/>
  <c r="N142" i="1" l="1"/>
  <c r="M142" i="1" a="1"/>
  <c r="M142" i="1" l="1"/>
  <c r="L142" i="1" a="1"/>
  <c r="L142" i="1" l="1"/>
  <c r="K142" i="1" a="1"/>
  <c r="K142" i="1" l="1"/>
  <c r="J142" i="1" a="1"/>
  <c r="J142" i="1" l="1"/>
  <c r="I142" i="1" a="1"/>
  <c r="I142" i="1" l="1"/>
  <c r="H142" i="1" a="1"/>
  <c r="H142" i="1" l="1"/>
  <c r="G142" i="1" a="1"/>
  <c r="G142" i="1" l="1"/>
  <c r="O142" i="1" s="1"/>
  <c r="F142" i="1" a="1"/>
  <c r="F142" i="1" l="1"/>
  <c r="N141" i="1" a="1"/>
  <c r="N141" i="1" l="1"/>
  <c r="M141" i="1" a="1"/>
  <c r="M141" i="1" l="1"/>
  <c r="L141" i="1" a="1"/>
  <c r="L141" i="1" l="1"/>
  <c r="K141" i="1" a="1"/>
  <c r="K141" i="1" l="1"/>
  <c r="J141" i="1" a="1"/>
  <c r="J141" i="1" l="1"/>
  <c r="I141" i="1" a="1"/>
  <c r="I141" i="1" l="1"/>
  <c r="H141" i="1" a="1"/>
  <c r="H141" i="1" l="1"/>
  <c r="G141" i="1" a="1"/>
  <c r="G141" i="1" l="1"/>
  <c r="O141" i="1" s="1"/>
  <c r="F141" i="1" a="1"/>
  <c r="F141" i="1" l="1"/>
  <c r="N140" i="1" a="1"/>
  <c r="N140" i="1" l="1"/>
  <c r="M140" i="1" a="1"/>
  <c r="M140" i="1" l="1"/>
  <c r="L140" i="1" a="1"/>
  <c r="L140" i="1" l="1"/>
  <c r="K140" i="1" a="1"/>
  <c r="K140" i="1" l="1"/>
  <c r="J140" i="1" a="1"/>
  <c r="J140" i="1" l="1"/>
  <c r="I140" i="1" a="1"/>
  <c r="I140" i="1" l="1"/>
  <c r="H140" i="1" a="1"/>
  <c r="H140" i="1" l="1"/>
  <c r="G140" i="1" a="1"/>
  <c r="G140" i="1" l="1"/>
  <c r="O140" i="1" s="1"/>
  <c r="F140" i="1" a="1"/>
  <c r="F140" i="1" l="1"/>
  <c r="N139" i="1" a="1"/>
  <c r="N139" i="1" l="1"/>
  <c r="M139" i="1" a="1"/>
  <c r="M139" i="1" l="1"/>
  <c r="L139" i="1" a="1"/>
  <c r="L139" i="1" l="1"/>
  <c r="K139" i="1" a="1"/>
  <c r="K139" i="1" l="1"/>
  <c r="J139" i="1" a="1"/>
  <c r="J139" i="1" l="1"/>
  <c r="I139" i="1" a="1"/>
  <c r="I139" i="1" l="1"/>
  <c r="H139" i="1" a="1"/>
  <c r="H139" i="1" l="1"/>
  <c r="G139" i="1" a="1"/>
  <c r="G139" i="1" l="1"/>
  <c r="O139" i="1" s="1"/>
  <c r="F139" i="1" a="1"/>
  <c r="F139" i="1" l="1"/>
  <c r="N138" i="1" a="1"/>
  <c r="N138" i="1" l="1"/>
  <c r="M138" i="1" a="1"/>
  <c r="M138" i="1" l="1"/>
  <c r="L138" i="1" a="1"/>
  <c r="L138" i="1" l="1"/>
  <c r="K138" i="1" a="1"/>
  <c r="K138" i="1" l="1"/>
  <c r="J138" i="1" a="1"/>
  <c r="J138" i="1" l="1"/>
  <c r="I138" i="1" a="1"/>
  <c r="I138" i="1" l="1"/>
  <c r="H138" i="1" a="1"/>
  <c r="H138" i="1" l="1"/>
  <c r="G138" i="1" a="1"/>
  <c r="G138" i="1" l="1"/>
  <c r="O138" i="1" s="1"/>
  <c r="F138" i="1" a="1"/>
  <c r="F138" i="1" l="1"/>
  <c r="N137" i="1" a="1"/>
  <c r="N137" i="1" l="1"/>
  <c r="M137" i="1" a="1"/>
  <c r="M137" i="1" l="1"/>
  <c r="L137" i="1" a="1"/>
  <c r="L137" i="1" l="1"/>
  <c r="K137" i="1" a="1"/>
  <c r="K137" i="1" l="1"/>
  <c r="J137" i="1" a="1"/>
  <c r="J137" i="1" l="1"/>
  <c r="I137" i="1" a="1"/>
  <c r="I137" i="1" l="1"/>
  <c r="H137" i="1" a="1"/>
  <c r="H137" i="1" l="1"/>
  <c r="G137" i="1" a="1"/>
  <c r="G137" i="1" l="1"/>
  <c r="O137" i="1" s="1"/>
  <c r="F137" i="1" a="1"/>
  <c r="F137" i="1" l="1"/>
  <c r="N136" i="1" a="1"/>
  <c r="N136" i="1" l="1"/>
  <c r="M136" i="1" a="1"/>
  <c r="M136" i="1" l="1"/>
  <c r="L136" i="1" a="1"/>
  <c r="L136" i="1" l="1"/>
  <c r="K136" i="1" a="1"/>
  <c r="K136" i="1" l="1"/>
  <c r="J136" i="1" a="1"/>
  <c r="J136" i="1" l="1"/>
  <c r="I136" i="1" a="1"/>
  <c r="I136" i="1" l="1"/>
  <c r="H136" i="1" a="1"/>
  <c r="H136" i="1" l="1"/>
  <c r="G136" i="1" a="1"/>
  <c r="G136" i="1" l="1"/>
  <c r="O136" i="1" s="1"/>
  <c r="F136" i="1" a="1"/>
  <c r="F136" i="1" l="1"/>
  <c r="N135" i="1" a="1"/>
  <c r="N135" i="1" l="1"/>
  <c r="M135" i="1" a="1"/>
  <c r="M135" i="1" l="1"/>
  <c r="L135" i="1" a="1"/>
  <c r="L135" i="1" l="1"/>
  <c r="K135" i="1" a="1"/>
  <c r="K135" i="1" l="1"/>
  <c r="J135" i="1" a="1"/>
  <c r="J135" i="1" l="1"/>
  <c r="I135" i="1" a="1"/>
  <c r="I135" i="1" l="1"/>
  <c r="H135" i="1" a="1"/>
  <c r="H135" i="1" l="1"/>
  <c r="G135" i="1" a="1"/>
  <c r="G135" i="1" l="1"/>
  <c r="O135" i="1" s="1"/>
  <c r="F135" i="1" a="1"/>
  <c r="F135" i="1" l="1"/>
  <c r="N134" i="1" a="1"/>
  <c r="N134" i="1" l="1"/>
  <c r="M134" i="1" a="1"/>
  <c r="M134" i="1" l="1"/>
  <c r="L134" i="1" a="1"/>
  <c r="L134" i="1" l="1"/>
  <c r="K134" i="1" a="1"/>
  <c r="K134" i="1" l="1"/>
  <c r="J134" i="1" a="1"/>
  <c r="J134" i="1" l="1"/>
  <c r="I134" i="1" a="1"/>
  <c r="I134" i="1" l="1"/>
  <c r="H134" i="1" a="1"/>
  <c r="H134" i="1" l="1"/>
  <c r="G134" i="1" a="1"/>
  <c r="G134" i="1" l="1"/>
  <c r="O134" i="1" s="1"/>
  <c r="F134" i="1" a="1"/>
  <c r="F134" i="1" l="1"/>
  <c r="N133" i="1" a="1"/>
  <c r="N133" i="1" l="1"/>
  <c r="M133" i="1" a="1"/>
  <c r="M133" i="1" l="1"/>
  <c r="L133" i="1" a="1"/>
  <c r="L133" i="1" l="1"/>
  <c r="K133" i="1" a="1"/>
  <c r="K133" i="1" l="1"/>
  <c r="J133" i="1" a="1"/>
  <c r="J133" i="1" l="1"/>
  <c r="I133" i="1" a="1"/>
  <c r="I133" i="1" l="1"/>
  <c r="H133" i="1" a="1"/>
  <c r="H133" i="1" l="1"/>
  <c r="G133" i="1" a="1"/>
  <c r="G133" i="1" l="1"/>
  <c r="O133" i="1" s="1"/>
  <c r="F133" i="1" a="1"/>
  <c r="F133" i="1" l="1"/>
  <c r="N132" i="1" a="1"/>
  <c r="N132" i="1" l="1"/>
  <c r="M132" i="1" a="1"/>
  <c r="M132" i="1" l="1"/>
  <c r="L132" i="1" a="1"/>
  <c r="L132" i="1" l="1"/>
  <c r="K132" i="1" a="1"/>
  <c r="K132" i="1" l="1"/>
  <c r="J132" i="1" a="1"/>
  <c r="J132" i="1" l="1"/>
  <c r="I132" i="1" a="1"/>
  <c r="I132" i="1" l="1"/>
  <c r="H132" i="1" a="1"/>
  <c r="H132" i="1" l="1"/>
  <c r="G132" i="1" a="1"/>
  <c r="G132" i="1" l="1"/>
  <c r="O132" i="1" s="1"/>
  <c r="F132" i="1" a="1"/>
  <c r="F132" i="1" l="1"/>
  <c r="N131" i="1" a="1"/>
  <c r="N131" i="1" l="1"/>
  <c r="M131" i="1" a="1"/>
  <c r="M131" i="1" l="1"/>
  <c r="L131" i="1" a="1"/>
  <c r="L131" i="1" l="1"/>
  <c r="K131" i="1" a="1"/>
  <c r="K131" i="1" l="1"/>
  <c r="J131" i="1" a="1"/>
  <c r="J131" i="1" l="1"/>
  <c r="I131" i="1" a="1"/>
  <c r="I131" i="1" l="1"/>
  <c r="H131" i="1" a="1"/>
  <c r="H131" i="1" l="1"/>
  <c r="G131" i="1" a="1"/>
  <c r="G131" i="1" l="1"/>
  <c r="O131" i="1" s="1"/>
  <c r="F131" i="1" a="1"/>
  <c r="F131" i="1" l="1"/>
  <c r="N130" i="1" a="1"/>
  <c r="N130" i="1" l="1"/>
  <c r="M130" i="1" a="1"/>
  <c r="M130" i="1" l="1"/>
  <c r="L130" i="1" a="1"/>
  <c r="L130" i="1" l="1"/>
  <c r="K130" i="1" a="1"/>
  <c r="K130" i="1" l="1"/>
  <c r="J130" i="1" a="1"/>
  <c r="J130" i="1" l="1"/>
  <c r="I130" i="1" a="1"/>
  <c r="I130" i="1" l="1"/>
  <c r="H130" i="1" a="1"/>
  <c r="H130" i="1" l="1"/>
  <c r="G130" i="1" a="1"/>
  <c r="G130" i="1" l="1"/>
  <c r="O130" i="1" s="1"/>
  <c r="F130" i="1" a="1"/>
  <c r="F130" i="1" l="1"/>
  <c r="N129" i="1" a="1"/>
  <c r="N129" i="1" l="1"/>
  <c r="M129" i="1" a="1"/>
  <c r="M129" i="1" l="1"/>
  <c r="L129" i="1" a="1"/>
  <c r="L129" i="1" l="1"/>
  <c r="K129" i="1" a="1"/>
  <c r="K129" i="1" l="1"/>
  <c r="J129" i="1" a="1"/>
  <c r="J129" i="1" l="1"/>
  <c r="I129" i="1" a="1"/>
  <c r="I129" i="1" l="1"/>
  <c r="H129" i="1" a="1"/>
  <c r="H129" i="1" l="1"/>
  <c r="G129" i="1" a="1"/>
  <c r="G129" i="1" l="1"/>
  <c r="O129" i="1" s="1"/>
  <c r="F129" i="1" a="1"/>
  <c r="F129" i="1" l="1"/>
  <c r="N128" i="1" a="1"/>
  <c r="N128" i="1" l="1"/>
  <c r="M128" i="1" a="1"/>
  <c r="M128" i="1" l="1"/>
  <c r="L128" i="1" a="1"/>
  <c r="L128" i="1" l="1"/>
  <c r="K128" i="1" a="1"/>
  <c r="K128" i="1" l="1"/>
  <c r="J128" i="1" a="1"/>
  <c r="J128" i="1" l="1"/>
  <c r="I128" i="1" a="1"/>
  <c r="I128" i="1" l="1"/>
  <c r="H128" i="1" a="1"/>
  <c r="H128" i="1" l="1"/>
  <c r="G128" i="1" a="1"/>
  <c r="G128" i="1" l="1"/>
  <c r="O128" i="1" s="1"/>
  <c r="F128" i="1" a="1"/>
  <c r="F128" i="1" l="1"/>
  <c r="N127" i="1" a="1"/>
  <c r="N127" i="1" l="1"/>
  <c r="M127" i="1" a="1"/>
  <c r="M127" i="1" l="1"/>
  <c r="L127" i="1" a="1"/>
  <c r="L127" i="1" l="1"/>
  <c r="K127" i="1" a="1"/>
  <c r="K127" i="1" l="1"/>
  <c r="J127" i="1" a="1"/>
  <c r="J127" i="1" l="1"/>
  <c r="I127" i="1" a="1"/>
  <c r="I127" i="1" l="1"/>
  <c r="H127" i="1" a="1"/>
  <c r="H127" i="1" l="1"/>
  <c r="G127" i="1" a="1"/>
  <c r="G127" i="1" l="1"/>
  <c r="O127" i="1" s="1"/>
  <c r="F127" i="1" a="1"/>
  <c r="F127" i="1" l="1"/>
  <c r="N126" i="1" a="1"/>
  <c r="N126" i="1" l="1"/>
  <c r="M126" i="1" a="1"/>
  <c r="M126" i="1" l="1"/>
  <c r="L126" i="1" a="1"/>
  <c r="L126" i="1" l="1"/>
  <c r="K126" i="1" a="1"/>
  <c r="K126" i="1" l="1"/>
  <c r="J126" i="1" a="1"/>
  <c r="J126" i="1" l="1"/>
  <c r="I126" i="1" a="1"/>
  <c r="I126" i="1" l="1"/>
  <c r="H126" i="1" a="1"/>
  <c r="H126" i="1" l="1"/>
  <c r="G126" i="1" a="1"/>
  <c r="G126" i="1" l="1"/>
  <c r="O126" i="1" s="1"/>
  <c r="F126" i="1" a="1"/>
  <c r="F126" i="1" l="1"/>
  <c r="N125" i="1" a="1"/>
  <c r="N125" i="1" l="1"/>
  <c r="M125" i="1" a="1"/>
  <c r="M125" i="1" l="1"/>
  <c r="L125" i="1" a="1"/>
  <c r="L125" i="1" l="1"/>
  <c r="K125" i="1" a="1"/>
  <c r="K125" i="1" l="1"/>
  <c r="J125" i="1" a="1"/>
  <c r="J125" i="1" l="1"/>
  <c r="I125" i="1" a="1"/>
  <c r="I125" i="1" l="1"/>
  <c r="H125" i="1" a="1"/>
  <c r="H125" i="1" l="1"/>
  <c r="G125" i="1" a="1"/>
  <c r="G125" i="1" l="1"/>
  <c r="O125" i="1" s="1"/>
  <c r="F125" i="1" a="1"/>
  <c r="F125" i="1" l="1"/>
  <c r="N124" i="1" a="1"/>
  <c r="N124" i="1" l="1"/>
  <c r="M124" i="1" a="1"/>
  <c r="M124" i="1" l="1"/>
  <c r="L124" i="1" a="1"/>
  <c r="L124" i="1" l="1"/>
  <c r="K124" i="1" a="1"/>
  <c r="K124" i="1" l="1"/>
  <c r="J124" i="1" a="1"/>
  <c r="J124" i="1" l="1"/>
  <c r="I124" i="1" a="1"/>
  <c r="I124" i="1" l="1"/>
  <c r="H124" i="1" a="1"/>
  <c r="H124" i="1" l="1"/>
  <c r="G124" i="1" a="1"/>
  <c r="G124" i="1" l="1"/>
  <c r="O124" i="1" s="1"/>
  <c r="F124" i="1" a="1"/>
  <c r="F124" i="1" l="1"/>
  <c r="N123" i="1" a="1"/>
  <c r="N123" i="1" l="1"/>
  <c r="M123" i="1" a="1"/>
  <c r="M123" i="1" l="1"/>
  <c r="L123" i="1" a="1"/>
  <c r="L123" i="1" l="1"/>
  <c r="K123" i="1" a="1"/>
  <c r="K123" i="1" l="1"/>
  <c r="J123" i="1" a="1"/>
  <c r="J123" i="1" l="1"/>
  <c r="I123" i="1" a="1"/>
  <c r="I123" i="1" l="1"/>
  <c r="H123" i="1" a="1"/>
  <c r="H123" i="1" l="1"/>
  <c r="G123" i="1" a="1"/>
  <c r="G123" i="1" l="1"/>
  <c r="O123" i="1" s="1"/>
  <c r="F123" i="1" a="1"/>
  <c r="F123" i="1" l="1"/>
  <c r="N122" i="1" a="1"/>
  <c r="N122" i="1" l="1"/>
  <c r="M122" i="1" a="1"/>
  <c r="M122" i="1" l="1"/>
  <c r="L122" i="1" a="1"/>
  <c r="L122" i="1" l="1"/>
  <c r="K122" i="1" a="1"/>
  <c r="K122" i="1" l="1"/>
  <c r="J122" i="1" a="1"/>
  <c r="J122" i="1" l="1"/>
  <c r="I122" i="1" a="1"/>
  <c r="I122" i="1" l="1"/>
  <c r="H122" i="1" a="1"/>
  <c r="H122" i="1" l="1"/>
  <c r="G122" i="1" a="1"/>
  <c r="G122" i="1" l="1"/>
  <c r="O122" i="1" s="1"/>
  <c r="F122" i="1" a="1"/>
  <c r="F122" i="1" l="1"/>
  <c r="N121" i="1" a="1"/>
  <c r="N121" i="1" l="1"/>
  <c r="M121" i="1" a="1"/>
  <c r="M121" i="1" l="1"/>
  <c r="L121" i="1" a="1"/>
  <c r="L121" i="1" l="1"/>
  <c r="K121" i="1" a="1"/>
  <c r="K121" i="1" l="1"/>
  <c r="J121" i="1" a="1"/>
  <c r="J121" i="1" l="1"/>
  <c r="I121" i="1" a="1"/>
  <c r="I121" i="1" l="1"/>
  <c r="H121" i="1" a="1"/>
  <c r="H121" i="1" l="1"/>
  <c r="G121" i="1" a="1"/>
  <c r="G121" i="1" l="1"/>
  <c r="O121" i="1" s="1"/>
  <c r="F121" i="1" a="1"/>
  <c r="F121" i="1" l="1"/>
  <c r="N120" i="1" a="1"/>
  <c r="N120" i="1" l="1"/>
  <c r="M120" i="1" a="1"/>
  <c r="M120" i="1" l="1"/>
  <c r="L120" i="1" a="1"/>
  <c r="L120" i="1" l="1"/>
  <c r="K120" i="1" a="1"/>
  <c r="K120" i="1" l="1"/>
  <c r="J120" i="1" a="1"/>
  <c r="J120" i="1" l="1"/>
  <c r="I120" i="1" a="1"/>
  <c r="I120" i="1" l="1"/>
  <c r="H120" i="1" a="1"/>
  <c r="H120" i="1" l="1"/>
  <c r="G120" i="1" a="1"/>
  <c r="G120" i="1" l="1"/>
  <c r="O120" i="1" s="1"/>
  <c r="F120" i="1" a="1"/>
  <c r="F120" i="1" l="1"/>
  <c r="N119" i="1" a="1"/>
  <c r="N119" i="1" l="1"/>
  <c r="M119" i="1" a="1"/>
  <c r="M119" i="1" l="1"/>
  <c r="L119" i="1" a="1"/>
  <c r="L119" i="1" l="1"/>
  <c r="K119" i="1" a="1"/>
  <c r="K119" i="1" l="1"/>
  <c r="J119" i="1" a="1"/>
  <c r="J119" i="1" l="1"/>
  <c r="I119" i="1" a="1"/>
  <c r="I119" i="1" l="1"/>
  <c r="H119" i="1" a="1"/>
  <c r="H119" i="1" l="1"/>
  <c r="G119" i="1" a="1"/>
  <c r="G119" i="1" l="1"/>
  <c r="O119" i="1" s="1"/>
  <c r="F119" i="1" a="1"/>
  <c r="F119" i="1" l="1"/>
  <c r="N118" i="1" a="1"/>
  <c r="N118" i="1" l="1"/>
  <c r="M118" i="1" a="1"/>
  <c r="M118" i="1" l="1"/>
  <c r="L118" i="1" a="1"/>
  <c r="L118" i="1" l="1"/>
  <c r="K118" i="1" a="1"/>
  <c r="K118" i="1" l="1"/>
  <c r="J118" i="1" a="1"/>
  <c r="J118" i="1" l="1"/>
  <c r="I118" i="1" a="1"/>
  <c r="I118" i="1" l="1"/>
  <c r="H118" i="1" a="1"/>
  <c r="H118" i="1" l="1"/>
  <c r="G118" i="1" a="1"/>
  <c r="G118" i="1" l="1"/>
  <c r="O118" i="1" s="1"/>
  <c r="F118" i="1" a="1"/>
  <c r="F118" i="1" l="1"/>
  <c r="N117" i="1" a="1"/>
  <c r="N117" i="1" l="1"/>
  <c r="M117" i="1" a="1"/>
  <c r="M117" i="1" l="1"/>
  <c r="L117" i="1" a="1"/>
  <c r="L117" i="1" l="1"/>
  <c r="K117" i="1" a="1"/>
  <c r="K117" i="1" l="1"/>
  <c r="J117" i="1" a="1"/>
  <c r="J117" i="1" l="1"/>
  <c r="I117" i="1" a="1"/>
  <c r="I117" i="1" l="1"/>
  <c r="H117" i="1" a="1"/>
  <c r="H117" i="1" l="1"/>
  <c r="G117" i="1" a="1"/>
  <c r="G117" i="1" l="1"/>
  <c r="O117" i="1" s="1"/>
  <c r="F117" i="1" a="1"/>
  <c r="F117" i="1" l="1"/>
  <c r="N116" i="1" a="1"/>
  <c r="N116" i="1" l="1"/>
  <c r="M116" i="1" a="1"/>
  <c r="M116" i="1" l="1"/>
  <c r="L116" i="1" a="1"/>
  <c r="L116" i="1" l="1"/>
  <c r="K116" i="1" a="1"/>
  <c r="K116" i="1" l="1"/>
  <c r="J116" i="1" a="1"/>
  <c r="J116" i="1" l="1"/>
  <c r="I116" i="1" a="1"/>
  <c r="I116" i="1" l="1"/>
  <c r="H116" i="1" a="1"/>
  <c r="H116" i="1" l="1"/>
  <c r="G116" i="1" a="1"/>
  <c r="G116" i="1" l="1"/>
  <c r="O116" i="1" s="1"/>
  <c r="F116" i="1" a="1"/>
  <c r="F116" i="1" l="1"/>
  <c r="N115" i="1" a="1"/>
  <c r="N115" i="1" l="1"/>
  <c r="M115" i="1" a="1"/>
  <c r="M115" i="1" l="1"/>
  <c r="L115" i="1" a="1"/>
  <c r="L115" i="1" l="1"/>
  <c r="K115" i="1" a="1"/>
  <c r="K115" i="1" l="1"/>
  <c r="J115" i="1" a="1"/>
  <c r="J115" i="1" l="1"/>
  <c r="I115" i="1" a="1"/>
  <c r="I115" i="1" l="1"/>
  <c r="H115" i="1" a="1"/>
  <c r="H115" i="1" l="1"/>
  <c r="G115" i="1" a="1"/>
  <c r="G115" i="1" l="1"/>
  <c r="O115" i="1" s="1"/>
  <c r="F115" i="1" a="1"/>
  <c r="F115" i="1" l="1"/>
  <c r="N114" i="1" a="1"/>
  <c r="N114" i="1" l="1"/>
  <c r="M114" i="1" a="1"/>
  <c r="M114" i="1" l="1"/>
  <c r="L114" i="1" a="1"/>
  <c r="L114" i="1" l="1"/>
  <c r="K114" i="1" a="1"/>
  <c r="K114" i="1" l="1"/>
  <c r="J114" i="1" a="1"/>
  <c r="J114" i="1" l="1"/>
  <c r="I114" i="1" a="1"/>
  <c r="I114" i="1" l="1"/>
  <c r="H114" i="1" a="1"/>
  <c r="H114" i="1" l="1"/>
  <c r="G114" i="1" a="1"/>
  <c r="G114" i="1" l="1"/>
  <c r="O114" i="1" s="1"/>
  <c r="F114" i="1" a="1"/>
  <c r="F114" i="1" l="1"/>
  <c r="N113" i="1" a="1"/>
  <c r="N113" i="1" l="1"/>
  <c r="M113" i="1" a="1"/>
  <c r="M113" i="1" l="1"/>
  <c r="L113" i="1" a="1"/>
  <c r="L113" i="1" l="1"/>
  <c r="K113" i="1" a="1"/>
  <c r="K113" i="1" l="1"/>
  <c r="J113" i="1" a="1"/>
  <c r="J113" i="1" l="1"/>
  <c r="I113" i="1" a="1"/>
  <c r="I113" i="1" l="1"/>
  <c r="H113" i="1" a="1"/>
  <c r="H113" i="1" l="1"/>
  <c r="G113" i="1" a="1"/>
  <c r="G113" i="1" l="1"/>
  <c r="O113" i="1" s="1"/>
  <c r="F113" i="1" a="1"/>
  <c r="F113" i="1" l="1"/>
  <c r="N112" i="1" a="1"/>
  <c r="N112" i="1" l="1"/>
  <c r="M112" i="1" a="1"/>
  <c r="M112" i="1" l="1"/>
  <c r="L112" i="1" a="1"/>
  <c r="L112" i="1" l="1"/>
  <c r="K112" i="1" a="1"/>
  <c r="K112" i="1" l="1"/>
  <c r="J112" i="1" a="1"/>
  <c r="J112" i="1" l="1"/>
  <c r="I112" i="1" a="1"/>
  <c r="I112" i="1" l="1"/>
  <c r="H112" i="1" a="1"/>
  <c r="H112" i="1" l="1"/>
  <c r="G112" i="1" a="1"/>
  <c r="G112" i="1" l="1"/>
  <c r="O112" i="1" s="1"/>
  <c r="F112" i="1" a="1"/>
  <c r="F112" i="1" l="1"/>
  <c r="N111" i="1" a="1"/>
  <c r="N111" i="1" l="1"/>
  <c r="M111" i="1" a="1"/>
  <c r="M111" i="1" l="1"/>
  <c r="L111" i="1" a="1"/>
  <c r="L111" i="1" l="1"/>
  <c r="K111" i="1" a="1"/>
  <c r="K111" i="1" l="1"/>
  <c r="J111" i="1" a="1"/>
  <c r="J111" i="1" l="1"/>
  <c r="I111" i="1" a="1"/>
  <c r="I111" i="1" l="1"/>
  <c r="H111" i="1" a="1"/>
  <c r="H111" i="1" l="1"/>
  <c r="G111" i="1" a="1"/>
  <c r="G111" i="1" l="1"/>
  <c r="O111" i="1" s="1"/>
  <c r="F111" i="1" a="1"/>
  <c r="F111" i="1" l="1"/>
  <c r="N110" i="1" a="1"/>
  <c r="N110" i="1" l="1"/>
  <c r="M110" i="1" a="1"/>
  <c r="M110" i="1" l="1"/>
  <c r="L110" i="1" a="1"/>
  <c r="L110" i="1" l="1"/>
  <c r="K110" i="1" a="1"/>
  <c r="K110" i="1" l="1"/>
  <c r="J110" i="1" a="1"/>
  <c r="J110" i="1" l="1"/>
  <c r="I110" i="1" a="1"/>
  <c r="I110" i="1" l="1"/>
  <c r="H110" i="1" a="1"/>
  <c r="H110" i="1" l="1"/>
  <c r="G110" i="1" a="1"/>
  <c r="G110" i="1" l="1"/>
  <c r="O110" i="1" s="1"/>
  <c r="F110" i="1" a="1"/>
  <c r="F110" i="1" l="1"/>
  <c r="N109" i="1" a="1"/>
  <c r="N109" i="1" l="1"/>
  <c r="M109" i="1" a="1"/>
  <c r="M109" i="1" l="1"/>
  <c r="L109" i="1" a="1"/>
  <c r="L109" i="1" l="1"/>
  <c r="K109" i="1" a="1"/>
  <c r="K109" i="1" l="1"/>
  <c r="J109" i="1" a="1"/>
  <c r="J109" i="1" l="1"/>
  <c r="I109" i="1" a="1"/>
  <c r="I109" i="1" l="1"/>
  <c r="H109" i="1" a="1"/>
  <c r="H109" i="1" l="1"/>
  <c r="G109" i="1" a="1"/>
  <c r="G109" i="1" l="1"/>
  <c r="O109" i="1" s="1"/>
  <c r="F109" i="1" a="1"/>
  <c r="F109" i="1" l="1"/>
  <c r="N108" i="1" a="1"/>
  <c r="N108" i="1" l="1"/>
  <c r="M108" i="1" a="1"/>
  <c r="M108" i="1" l="1"/>
  <c r="L108" i="1" a="1"/>
  <c r="L108" i="1" l="1"/>
  <c r="K108" i="1" a="1"/>
  <c r="K108" i="1" l="1"/>
  <c r="J108" i="1" a="1"/>
  <c r="J108" i="1" l="1"/>
  <c r="I108" i="1" a="1"/>
  <c r="I108" i="1" l="1"/>
  <c r="H108" i="1" a="1"/>
  <c r="H108" i="1" l="1"/>
  <c r="G108" i="1" a="1"/>
  <c r="G108" i="1" l="1"/>
  <c r="O108" i="1" s="1"/>
  <c r="F108" i="1" a="1"/>
  <c r="F108" i="1" l="1"/>
  <c r="N107" i="1" a="1"/>
  <c r="N107" i="1" l="1"/>
  <c r="M107" i="1" a="1"/>
  <c r="M107" i="1" l="1"/>
  <c r="L107" i="1" a="1"/>
  <c r="L107" i="1" l="1"/>
  <c r="K107" i="1" a="1"/>
  <c r="K107" i="1" l="1"/>
  <c r="J107" i="1" a="1"/>
  <c r="J107" i="1" l="1"/>
  <c r="I107" i="1" a="1"/>
  <c r="I107" i="1" l="1"/>
  <c r="H107" i="1" a="1"/>
  <c r="H107" i="1" l="1"/>
  <c r="G107" i="1" a="1"/>
  <c r="G107" i="1" l="1"/>
  <c r="O107" i="1" s="1"/>
  <c r="F107" i="1" a="1"/>
  <c r="F107" i="1" l="1"/>
  <c r="N106" i="1" a="1"/>
  <c r="N106" i="1" l="1"/>
  <c r="M106" i="1" a="1"/>
  <c r="M106" i="1" l="1"/>
  <c r="L106" i="1" a="1"/>
  <c r="L106" i="1" l="1"/>
  <c r="K106" i="1" a="1"/>
  <c r="K106" i="1" l="1"/>
  <c r="J106" i="1" a="1"/>
  <c r="J106" i="1" l="1"/>
  <c r="I106" i="1" a="1"/>
  <c r="I106" i="1" l="1"/>
  <c r="H106" i="1" a="1"/>
  <c r="H106" i="1" l="1"/>
  <c r="G106" i="1" a="1"/>
  <c r="G106" i="1" l="1"/>
  <c r="O106" i="1" s="1"/>
  <c r="F106" i="1" a="1"/>
  <c r="F106" i="1" l="1"/>
  <c r="N105" i="1" a="1"/>
  <c r="N105" i="1" l="1"/>
  <c r="M105" i="1" a="1"/>
  <c r="M105" i="1" l="1"/>
  <c r="L105" i="1" a="1"/>
  <c r="L105" i="1" l="1"/>
  <c r="K105" i="1" a="1"/>
  <c r="K105" i="1" l="1"/>
  <c r="J105" i="1" a="1"/>
  <c r="J105" i="1" l="1"/>
  <c r="I105" i="1" a="1"/>
  <c r="I105" i="1" l="1"/>
  <c r="H105" i="1" a="1"/>
  <c r="H105" i="1" l="1"/>
  <c r="G105" i="1" a="1"/>
  <c r="G105" i="1" l="1"/>
  <c r="O105" i="1" s="1"/>
  <c r="F105" i="1" a="1"/>
  <c r="F105" i="1" l="1"/>
  <c r="N104" i="1" a="1"/>
  <c r="N104" i="1" l="1"/>
  <c r="M104" i="1" a="1"/>
  <c r="M104" i="1" l="1"/>
  <c r="L104" i="1" a="1"/>
  <c r="L104" i="1" l="1"/>
  <c r="K104" i="1" a="1"/>
  <c r="K104" i="1" l="1"/>
  <c r="J104" i="1" a="1"/>
  <c r="J104" i="1" l="1"/>
  <c r="I104" i="1" a="1"/>
  <c r="I104" i="1" l="1"/>
  <c r="H104" i="1" a="1"/>
  <c r="H104" i="1" l="1"/>
  <c r="G104" i="1" a="1"/>
  <c r="G104" i="1" l="1"/>
  <c r="O104" i="1" s="1"/>
  <c r="F104" i="1" a="1"/>
  <c r="F104" i="1" l="1"/>
  <c r="N103" i="1" a="1"/>
  <c r="N103" i="1" l="1"/>
  <c r="M103" i="1" a="1"/>
  <c r="M103" i="1" l="1"/>
  <c r="L103" i="1" a="1"/>
  <c r="L103" i="1" l="1"/>
  <c r="K103" i="1" a="1"/>
  <c r="K103" i="1" l="1"/>
  <c r="J103" i="1" a="1"/>
  <c r="J103" i="1" l="1"/>
  <c r="I103" i="1" a="1"/>
  <c r="I103" i="1" l="1"/>
  <c r="H103" i="1" a="1"/>
  <c r="H103" i="1" l="1"/>
  <c r="G103" i="1" a="1"/>
  <c r="G103" i="1" l="1"/>
  <c r="O103" i="1" s="1"/>
  <c r="F103" i="1" a="1"/>
  <c r="F103" i="1" l="1"/>
  <c r="N102" i="1" a="1"/>
  <c r="N102" i="1" l="1"/>
  <c r="M102" i="1" a="1"/>
  <c r="M102" i="1" l="1"/>
  <c r="L102" i="1" a="1"/>
  <c r="L102" i="1" l="1"/>
  <c r="K102" i="1" a="1"/>
  <c r="K102" i="1" l="1"/>
  <c r="J102" i="1" a="1"/>
  <c r="J102" i="1" l="1"/>
  <c r="I102" i="1" a="1"/>
  <c r="I102" i="1" l="1"/>
  <c r="H102" i="1" a="1"/>
  <c r="H102" i="1" l="1"/>
  <c r="G102" i="1" a="1"/>
  <c r="G102" i="1" l="1"/>
  <c r="O102" i="1" s="1"/>
  <c r="F102" i="1" a="1"/>
  <c r="F102" i="1" l="1"/>
  <c r="N101" i="1" a="1"/>
  <c r="N101" i="1" l="1"/>
  <c r="M101" i="1" a="1"/>
  <c r="M101" i="1" l="1"/>
  <c r="L101" i="1" a="1"/>
  <c r="L101" i="1" l="1"/>
  <c r="K101" i="1" a="1"/>
  <c r="K101" i="1" l="1"/>
  <c r="J101" i="1" a="1"/>
  <c r="J101" i="1" l="1"/>
  <c r="I101" i="1" a="1"/>
  <c r="I101" i="1" l="1"/>
  <c r="H101" i="1" a="1"/>
  <c r="H101" i="1" l="1"/>
  <c r="G101" i="1" a="1"/>
  <c r="G101" i="1" l="1"/>
  <c r="O101" i="1" s="1"/>
  <c r="F101" i="1" a="1"/>
  <c r="F101" i="1" l="1"/>
  <c r="N100" i="1" a="1"/>
  <c r="N100" i="1" l="1"/>
  <c r="M100" i="1" a="1"/>
  <c r="M100" i="1" l="1"/>
  <c r="L100" i="1" a="1"/>
  <c r="L100" i="1" l="1"/>
  <c r="K100" i="1" a="1"/>
  <c r="K100" i="1" l="1"/>
  <c r="J100" i="1" a="1"/>
  <c r="J100" i="1" l="1"/>
  <c r="I100" i="1" a="1"/>
  <c r="I100" i="1" l="1"/>
  <c r="H100" i="1" a="1"/>
  <c r="H100" i="1" l="1"/>
  <c r="G100" i="1" a="1"/>
  <c r="G100" i="1" l="1"/>
  <c r="O100" i="1" s="1"/>
  <c r="F100" i="1" a="1"/>
  <c r="F100" i="1" l="1"/>
  <c r="N99" i="1" a="1"/>
  <c r="N99" i="1" l="1"/>
  <c r="M99" i="1" a="1"/>
  <c r="M99" i="1" l="1"/>
  <c r="L99" i="1" a="1"/>
  <c r="L99" i="1" l="1"/>
  <c r="K99" i="1" a="1"/>
  <c r="K99" i="1" l="1"/>
  <c r="J99" i="1" a="1"/>
  <c r="J99" i="1" l="1"/>
  <c r="I99" i="1" a="1"/>
  <c r="I99" i="1" l="1"/>
  <c r="H99" i="1" a="1"/>
  <c r="H99" i="1" l="1"/>
  <c r="G99" i="1" a="1"/>
  <c r="G99" i="1" l="1"/>
  <c r="O99" i="1" s="1"/>
  <c r="F99" i="1" a="1"/>
  <c r="F99" i="1" l="1"/>
  <c r="N98" i="1" a="1"/>
  <c r="N98" i="1" l="1"/>
  <c r="M98" i="1" a="1"/>
  <c r="M98" i="1" l="1"/>
  <c r="L98" i="1" a="1"/>
  <c r="L98" i="1" l="1"/>
  <c r="K98" i="1" a="1"/>
  <c r="K98" i="1" l="1"/>
  <c r="J98" i="1" a="1"/>
  <c r="J98" i="1" l="1"/>
  <c r="I98" i="1" a="1"/>
  <c r="I98" i="1" l="1"/>
  <c r="H98" i="1" a="1"/>
  <c r="H98" i="1" l="1"/>
  <c r="G98" i="1" a="1"/>
  <c r="G98" i="1" l="1"/>
  <c r="O98" i="1" s="1"/>
  <c r="F98" i="1" a="1"/>
  <c r="F98" i="1" l="1"/>
  <c r="N97" i="1" a="1"/>
  <c r="N97" i="1" l="1"/>
  <c r="M97" i="1" a="1"/>
  <c r="M97" i="1" l="1"/>
  <c r="L97" i="1" a="1"/>
  <c r="L97" i="1" l="1"/>
  <c r="K97" i="1" a="1"/>
  <c r="K97" i="1" l="1"/>
  <c r="J97" i="1" a="1"/>
  <c r="J97" i="1" l="1"/>
  <c r="I97" i="1" a="1"/>
  <c r="I97" i="1" l="1"/>
  <c r="H97" i="1" a="1"/>
  <c r="H97" i="1" l="1"/>
  <c r="G97" i="1" a="1"/>
  <c r="G97" i="1" l="1"/>
  <c r="O97" i="1" s="1"/>
  <c r="F97" i="1" a="1"/>
  <c r="F97" i="1" l="1"/>
  <c r="N96" i="1" a="1"/>
  <c r="N96" i="1" l="1"/>
  <c r="M96" i="1" a="1"/>
  <c r="M96" i="1" l="1"/>
  <c r="L96" i="1" a="1"/>
  <c r="L96" i="1" l="1"/>
  <c r="K96" i="1" a="1"/>
  <c r="K96" i="1" l="1"/>
  <c r="J96" i="1" a="1"/>
  <c r="J96" i="1" l="1"/>
  <c r="I96" i="1" a="1"/>
  <c r="I96" i="1" l="1"/>
  <c r="H96" i="1" a="1"/>
  <c r="H96" i="1" l="1"/>
  <c r="G96" i="1" a="1"/>
  <c r="G96" i="1" l="1"/>
  <c r="O96" i="1" s="1"/>
  <c r="F96" i="1" a="1"/>
  <c r="F96" i="1" l="1"/>
  <c r="N95" i="1" a="1"/>
  <c r="N95" i="1" l="1"/>
  <c r="M95" i="1" a="1"/>
  <c r="M95" i="1" l="1"/>
  <c r="L95" i="1" a="1"/>
  <c r="L95" i="1" l="1"/>
  <c r="K95" i="1" a="1"/>
  <c r="K95" i="1" l="1"/>
  <c r="J95" i="1" a="1"/>
  <c r="J95" i="1" l="1"/>
  <c r="I95" i="1" a="1"/>
  <c r="I95" i="1" l="1"/>
  <c r="H95" i="1" a="1"/>
  <c r="H95" i="1" l="1"/>
  <c r="G95" i="1" a="1"/>
  <c r="G95" i="1" l="1"/>
  <c r="O95" i="1" s="1"/>
  <c r="F95" i="1" a="1"/>
  <c r="F95" i="1" l="1"/>
  <c r="N94" i="1" a="1"/>
  <c r="N94" i="1" l="1"/>
  <c r="M94" i="1" a="1"/>
  <c r="M94" i="1" l="1"/>
  <c r="L94" i="1" a="1"/>
  <c r="L94" i="1" l="1"/>
  <c r="K94" i="1" a="1"/>
  <c r="K94" i="1" l="1"/>
  <c r="J94" i="1" a="1"/>
  <c r="J94" i="1" l="1"/>
  <c r="I94" i="1" a="1"/>
  <c r="I94" i="1" l="1"/>
  <c r="H94" i="1" a="1"/>
  <c r="H94" i="1" l="1"/>
  <c r="G94" i="1" a="1"/>
  <c r="G94" i="1" l="1"/>
  <c r="O94" i="1" s="1"/>
  <c r="F94" i="1" a="1"/>
  <c r="F94" i="1" l="1"/>
  <c r="N93" i="1" a="1"/>
  <c r="N93" i="1" l="1"/>
  <c r="M93" i="1" a="1"/>
  <c r="M93" i="1" l="1"/>
  <c r="L93" i="1" a="1"/>
  <c r="L93" i="1" l="1"/>
  <c r="K93" i="1" a="1"/>
  <c r="K93" i="1" l="1"/>
  <c r="J93" i="1" a="1"/>
  <c r="J93" i="1" l="1"/>
  <c r="I93" i="1" a="1"/>
  <c r="I93" i="1" l="1"/>
  <c r="H93" i="1" a="1"/>
  <c r="H93" i="1" l="1"/>
  <c r="G93" i="1" a="1"/>
  <c r="G93" i="1" l="1"/>
  <c r="O93" i="1" s="1"/>
  <c r="F93" i="1" a="1"/>
  <c r="F93" i="1" l="1"/>
  <c r="N92" i="1" a="1"/>
  <c r="N92" i="1" l="1"/>
  <c r="M92" i="1" a="1"/>
  <c r="M92" i="1" l="1"/>
  <c r="L92" i="1" a="1"/>
  <c r="L92" i="1" l="1"/>
  <c r="K92" i="1" a="1"/>
  <c r="K92" i="1" l="1"/>
  <c r="J92" i="1" a="1"/>
  <c r="J92" i="1" l="1"/>
  <c r="I92" i="1" a="1"/>
  <c r="I92" i="1" l="1"/>
  <c r="H92" i="1" a="1"/>
  <c r="H92" i="1" l="1"/>
  <c r="G92" i="1" a="1"/>
  <c r="G92" i="1" l="1"/>
  <c r="O92" i="1" s="1"/>
  <c r="F92" i="1" a="1"/>
  <c r="F92" i="1" l="1"/>
  <c r="N91" i="1" a="1"/>
  <c r="N91" i="1" l="1"/>
  <c r="M91" i="1" a="1"/>
  <c r="M91" i="1" l="1"/>
  <c r="L91" i="1" a="1"/>
  <c r="L91" i="1" l="1"/>
  <c r="K91" i="1" a="1"/>
  <c r="K91" i="1" l="1"/>
  <c r="J91" i="1" a="1"/>
  <c r="J91" i="1" l="1"/>
  <c r="I91" i="1" a="1"/>
  <c r="I91" i="1" l="1"/>
  <c r="H91" i="1" a="1"/>
  <c r="H91" i="1" l="1"/>
  <c r="G91" i="1" a="1"/>
  <c r="G91" i="1" l="1"/>
  <c r="O91" i="1" s="1"/>
  <c r="F91" i="1" a="1"/>
  <c r="F91" i="1" l="1"/>
  <c r="N90" i="1" a="1"/>
  <c r="N90" i="1" l="1"/>
  <c r="M90" i="1" a="1"/>
  <c r="M90" i="1" l="1"/>
  <c r="L90" i="1" a="1"/>
  <c r="L90" i="1" l="1"/>
  <c r="K90" i="1" a="1"/>
  <c r="K90" i="1" l="1"/>
  <c r="J90" i="1" a="1"/>
  <c r="J90" i="1" l="1"/>
  <c r="I90" i="1" a="1"/>
  <c r="I90" i="1" l="1"/>
  <c r="H90" i="1" a="1"/>
  <c r="H90" i="1" l="1"/>
  <c r="G90" i="1" a="1"/>
  <c r="G90" i="1" l="1"/>
  <c r="O90" i="1" s="1"/>
  <c r="F90" i="1" a="1"/>
  <c r="F90" i="1" l="1"/>
  <c r="N89" i="1" a="1"/>
  <c r="N89" i="1" l="1"/>
  <c r="M89" i="1" a="1"/>
  <c r="M89" i="1" l="1"/>
  <c r="L89" i="1" a="1"/>
  <c r="L89" i="1" l="1"/>
  <c r="K89" i="1" a="1"/>
  <c r="K89" i="1" l="1"/>
  <c r="J89" i="1" a="1"/>
  <c r="J89" i="1" l="1"/>
  <c r="I89" i="1" a="1"/>
  <c r="I89" i="1" l="1"/>
  <c r="H89" i="1" a="1"/>
  <c r="H89" i="1" l="1"/>
  <c r="G89" i="1" a="1"/>
  <c r="G89" i="1" l="1"/>
  <c r="O89" i="1" s="1"/>
  <c r="F89" i="1" a="1"/>
  <c r="F89" i="1" l="1"/>
  <c r="N88" i="1" a="1"/>
  <c r="N88" i="1" l="1"/>
  <c r="M88" i="1" a="1"/>
  <c r="M88" i="1" l="1"/>
  <c r="L88" i="1" a="1"/>
  <c r="L88" i="1" l="1"/>
  <c r="K88" i="1" a="1"/>
  <c r="K88" i="1" l="1"/>
  <c r="J88" i="1" a="1"/>
  <c r="J88" i="1" l="1"/>
  <c r="I88" i="1" a="1"/>
  <c r="I88" i="1" l="1"/>
  <c r="H88" i="1" a="1"/>
  <c r="H88" i="1" l="1"/>
  <c r="G88" i="1" a="1"/>
  <c r="G88" i="1" l="1"/>
  <c r="O88" i="1" s="1"/>
  <c r="F88" i="1" a="1"/>
  <c r="F88" i="1" l="1"/>
  <c r="N87" i="1" a="1"/>
  <c r="N87" i="1" l="1"/>
  <c r="M87" i="1" a="1"/>
  <c r="M87" i="1" l="1"/>
  <c r="L87" i="1" a="1"/>
  <c r="L87" i="1" l="1"/>
  <c r="K87" i="1" a="1"/>
  <c r="K87" i="1" l="1"/>
  <c r="J87" i="1" a="1"/>
  <c r="J87" i="1" l="1"/>
  <c r="I87" i="1" a="1"/>
  <c r="I87" i="1" l="1"/>
  <c r="H87" i="1" a="1"/>
  <c r="H87" i="1" l="1"/>
  <c r="G87" i="1" a="1"/>
  <c r="G87" i="1" l="1"/>
  <c r="O87" i="1" s="1"/>
  <c r="F87" i="1" a="1"/>
  <c r="F87" i="1" l="1"/>
  <c r="N86" i="1" a="1"/>
  <c r="N86" i="1" l="1"/>
  <c r="M86" i="1" a="1"/>
  <c r="M86" i="1" l="1"/>
  <c r="L86" i="1" a="1"/>
  <c r="L86" i="1" l="1"/>
  <c r="K86" i="1" a="1"/>
  <c r="K86" i="1" l="1"/>
  <c r="J86" i="1" a="1"/>
  <c r="J86" i="1" l="1"/>
  <c r="I86" i="1" a="1"/>
  <c r="I86" i="1" l="1"/>
  <c r="H86" i="1" a="1"/>
  <c r="H86" i="1" l="1"/>
  <c r="G86" i="1" a="1"/>
  <c r="G86" i="1" l="1"/>
  <c r="O86" i="1" s="1"/>
  <c r="F86" i="1" a="1"/>
  <c r="F86" i="1" l="1"/>
  <c r="N85" i="1" a="1"/>
  <c r="N85" i="1" l="1"/>
  <c r="M85" i="1" a="1"/>
  <c r="M85" i="1" l="1"/>
  <c r="L85" i="1" a="1"/>
  <c r="L85" i="1" l="1"/>
  <c r="K85" i="1" a="1"/>
  <c r="K85" i="1" l="1"/>
  <c r="J85" i="1" a="1"/>
  <c r="J85" i="1" l="1"/>
  <c r="I85" i="1" a="1"/>
  <c r="I85" i="1" l="1"/>
  <c r="H85" i="1" a="1"/>
  <c r="H85" i="1" l="1"/>
  <c r="G85" i="1" a="1"/>
  <c r="G85" i="1" l="1"/>
  <c r="O85" i="1" s="1"/>
  <c r="F85" i="1" a="1"/>
  <c r="F85" i="1" l="1"/>
  <c r="N84" i="1" a="1"/>
  <c r="N84" i="1" l="1"/>
  <c r="M84" i="1" a="1"/>
  <c r="M84" i="1" l="1"/>
  <c r="L84" i="1" a="1"/>
  <c r="L84" i="1" l="1"/>
  <c r="K84" i="1" a="1"/>
  <c r="K84" i="1" l="1"/>
  <c r="J84" i="1" a="1"/>
  <c r="J84" i="1" l="1"/>
  <c r="I84" i="1" a="1"/>
  <c r="I84" i="1" l="1"/>
  <c r="H84" i="1" a="1"/>
  <c r="H84" i="1" l="1"/>
  <c r="G84" i="1" a="1"/>
  <c r="G84" i="1" l="1"/>
  <c r="O84" i="1" s="1"/>
  <c r="F84" i="1" a="1"/>
  <c r="F84" i="1" l="1"/>
  <c r="N83" i="1" a="1"/>
  <c r="N83" i="1" l="1"/>
  <c r="M83" i="1" a="1"/>
  <c r="M83" i="1" l="1"/>
  <c r="L83" i="1" a="1"/>
  <c r="L83" i="1" l="1"/>
  <c r="K83" i="1" a="1"/>
  <c r="K83" i="1" l="1"/>
  <c r="J83" i="1" a="1"/>
  <c r="J83" i="1" l="1"/>
  <c r="I83" i="1" a="1"/>
  <c r="I83" i="1" l="1"/>
  <c r="H83" i="1" a="1"/>
  <c r="H83" i="1" l="1"/>
  <c r="G83" i="1" a="1"/>
  <c r="G83" i="1" l="1"/>
  <c r="O83" i="1" s="1"/>
  <c r="F83" i="1" a="1"/>
  <c r="F83" i="1" l="1"/>
  <c r="N82" i="1" a="1"/>
  <c r="N82" i="1" l="1"/>
  <c r="M82" i="1" a="1"/>
  <c r="M82" i="1" l="1"/>
  <c r="L82" i="1" a="1"/>
  <c r="L82" i="1" l="1"/>
  <c r="K82" i="1" a="1"/>
  <c r="K82" i="1" l="1"/>
  <c r="J82" i="1" a="1"/>
  <c r="J82" i="1" l="1"/>
  <c r="I82" i="1" a="1"/>
  <c r="I82" i="1" l="1"/>
  <c r="H82" i="1" a="1"/>
  <c r="H82" i="1" l="1"/>
  <c r="G82" i="1" a="1"/>
  <c r="G82" i="1" l="1"/>
  <c r="O82" i="1" s="1"/>
  <c r="F82" i="1" a="1"/>
  <c r="F82" i="1" l="1"/>
  <c r="N81" i="1" a="1"/>
  <c r="N81" i="1" l="1"/>
  <c r="M81" i="1" a="1"/>
  <c r="M81" i="1" l="1"/>
  <c r="L81" i="1" a="1"/>
  <c r="L81" i="1" l="1"/>
  <c r="K81" i="1" a="1"/>
  <c r="K81" i="1" l="1"/>
  <c r="J81" i="1" a="1"/>
  <c r="J81" i="1" l="1"/>
  <c r="I81" i="1" a="1"/>
  <c r="I81" i="1" l="1"/>
  <c r="H81" i="1" a="1"/>
  <c r="H81" i="1" l="1"/>
  <c r="G81" i="1" a="1"/>
  <c r="G81" i="1" l="1"/>
  <c r="O81" i="1" s="1"/>
  <c r="F81" i="1" a="1"/>
  <c r="F81" i="1" l="1"/>
  <c r="N80" i="1" a="1"/>
  <c r="N80" i="1" l="1"/>
  <c r="M80" i="1" a="1"/>
  <c r="M80" i="1" l="1"/>
  <c r="L80" i="1" a="1"/>
  <c r="L80" i="1" l="1"/>
  <c r="K80" i="1" a="1"/>
  <c r="K80" i="1" l="1"/>
  <c r="J80" i="1" a="1"/>
  <c r="J80" i="1" l="1"/>
  <c r="I80" i="1" a="1"/>
  <c r="I80" i="1" l="1"/>
  <c r="H80" i="1" a="1"/>
  <c r="H80" i="1" l="1"/>
  <c r="G80" i="1" a="1"/>
  <c r="G80" i="1" l="1"/>
  <c r="O80" i="1" s="1"/>
  <c r="F80" i="1" a="1"/>
  <c r="F80" i="1" l="1"/>
  <c r="N79" i="1" a="1"/>
  <c r="N79" i="1" l="1"/>
  <c r="M79" i="1" a="1"/>
  <c r="M79" i="1" l="1"/>
  <c r="L79" i="1" a="1"/>
  <c r="L79" i="1" l="1"/>
  <c r="K79" i="1" a="1"/>
  <c r="K79" i="1" l="1"/>
  <c r="J79" i="1" a="1"/>
  <c r="J79" i="1" l="1"/>
  <c r="I79" i="1" a="1"/>
  <c r="I79" i="1" l="1"/>
  <c r="H79" i="1" a="1"/>
  <c r="H79" i="1" l="1"/>
  <c r="G79" i="1" a="1"/>
  <c r="G79" i="1" l="1"/>
  <c r="O79" i="1" s="1"/>
  <c r="F79" i="1" a="1"/>
  <c r="F79" i="1" l="1"/>
  <c r="N78" i="1" a="1"/>
  <c r="N78" i="1" l="1"/>
  <c r="M78" i="1" a="1"/>
  <c r="M78" i="1" l="1"/>
  <c r="L78" i="1" a="1"/>
  <c r="L78" i="1" l="1"/>
  <c r="K78" i="1" a="1"/>
  <c r="K78" i="1" l="1"/>
  <c r="J78" i="1" a="1"/>
  <c r="J78" i="1" l="1"/>
  <c r="I78" i="1" a="1"/>
  <c r="I78" i="1" l="1"/>
  <c r="H78" i="1" a="1"/>
  <c r="H78" i="1" l="1"/>
  <c r="G78" i="1" a="1"/>
  <c r="G78" i="1" l="1"/>
  <c r="O78" i="1" s="1"/>
  <c r="F78" i="1" a="1"/>
  <c r="F78" i="1" l="1"/>
  <c r="N77" i="1" a="1"/>
  <c r="N77" i="1" l="1"/>
  <c r="M77" i="1" a="1"/>
  <c r="M77" i="1" l="1"/>
  <c r="L77" i="1" a="1"/>
  <c r="L77" i="1" l="1"/>
  <c r="K77" i="1" a="1"/>
  <c r="K77" i="1" l="1"/>
  <c r="J77" i="1" a="1"/>
  <c r="J77" i="1" l="1"/>
  <c r="I77" i="1" a="1"/>
  <c r="I77" i="1" l="1"/>
  <c r="H77" i="1" a="1"/>
  <c r="H77" i="1" l="1"/>
  <c r="G77" i="1" a="1"/>
  <c r="G77" i="1" l="1"/>
  <c r="O77" i="1" s="1"/>
  <c r="F77" i="1" a="1"/>
  <c r="F77" i="1" l="1"/>
  <c r="N76" i="1" a="1"/>
  <c r="N76" i="1" l="1"/>
  <c r="M76" i="1" a="1"/>
  <c r="M76" i="1" l="1"/>
  <c r="L76" i="1" a="1"/>
  <c r="L76" i="1" l="1"/>
  <c r="K76" i="1" a="1"/>
  <c r="K76" i="1" l="1"/>
  <c r="J76" i="1" a="1"/>
  <c r="J76" i="1" l="1"/>
  <c r="I76" i="1" a="1"/>
  <c r="I76" i="1" l="1"/>
  <c r="H76" i="1" a="1"/>
  <c r="H76" i="1" l="1"/>
  <c r="G76" i="1" a="1"/>
  <c r="G76" i="1" l="1"/>
  <c r="O76" i="1" s="1"/>
  <c r="F76" i="1" a="1"/>
  <c r="F76" i="1" l="1"/>
  <c r="N75" i="1" a="1"/>
  <c r="N75" i="1" l="1"/>
  <c r="M75" i="1" a="1"/>
  <c r="M75" i="1" l="1"/>
  <c r="L75" i="1" a="1"/>
  <c r="L75" i="1" l="1"/>
  <c r="K75" i="1" a="1"/>
  <c r="K75" i="1" l="1"/>
  <c r="J75" i="1" a="1"/>
  <c r="J75" i="1" l="1"/>
  <c r="I75" i="1" a="1"/>
  <c r="I75" i="1" l="1"/>
  <c r="H75" i="1" a="1"/>
  <c r="H75" i="1" l="1"/>
  <c r="G75" i="1" a="1"/>
  <c r="G75" i="1" l="1"/>
  <c r="O75" i="1" s="1"/>
  <c r="F75" i="1" a="1"/>
  <c r="F75" i="1" l="1"/>
  <c r="N74" i="1" a="1"/>
  <c r="N74" i="1" l="1"/>
  <c r="M74" i="1" a="1"/>
  <c r="M74" i="1" l="1"/>
  <c r="L74" i="1" a="1"/>
  <c r="L74" i="1" l="1"/>
  <c r="K74" i="1" a="1"/>
  <c r="K74" i="1" l="1"/>
  <c r="J74" i="1" a="1"/>
  <c r="J74" i="1" l="1"/>
  <c r="I74" i="1" a="1"/>
  <c r="I74" i="1" l="1"/>
  <c r="H74" i="1" a="1"/>
  <c r="H74" i="1" l="1"/>
  <c r="G74" i="1" a="1"/>
  <c r="G74" i="1" l="1"/>
  <c r="O74" i="1" s="1"/>
  <c r="F74" i="1" a="1"/>
  <c r="F74" i="1" l="1"/>
  <c r="N73" i="1" a="1"/>
  <c r="N73" i="1" l="1"/>
  <c r="M73" i="1" a="1"/>
  <c r="M73" i="1" l="1"/>
  <c r="L73" i="1" a="1"/>
  <c r="L73" i="1" l="1"/>
  <c r="K73" i="1" a="1"/>
  <c r="K73" i="1" l="1"/>
  <c r="J73" i="1" a="1"/>
  <c r="J73" i="1" l="1"/>
  <c r="I73" i="1" a="1"/>
  <c r="I73" i="1" l="1"/>
  <c r="H73" i="1" a="1"/>
  <c r="H73" i="1" l="1"/>
  <c r="G73" i="1" a="1"/>
  <c r="G73" i="1" l="1"/>
  <c r="O73" i="1" s="1"/>
  <c r="F73" i="1" a="1"/>
  <c r="F73" i="1" l="1"/>
  <c r="N72" i="1" a="1"/>
  <c r="N72" i="1" l="1"/>
  <c r="M72" i="1" a="1"/>
  <c r="M72" i="1" l="1"/>
  <c r="L72" i="1" a="1"/>
  <c r="L72" i="1" l="1"/>
  <c r="K72" i="1" a="1"/>
  <c r="K72" i="1" l="1"/>
  <c r="J72" i="1" a="1"/>
  <c r="J72" i="1" l="1"/>
  <c r="I72" i="1" a="1"/>
  <c r="I72" i="1" l="1"/>
  <c r="H72" i="1" a="1"/>
  <c r="H72" i="1" l="1"/>
  <c r="G72" i="1" a="1"/>
  <c r="G72" i="1" l="1"/>
  <c r="O72" i="1" s="1"/>
  <c r="F72" i="1" a="1"/>
  <c r="F72" i="1" l="1"/>
  <c r="N71" i="1" a="1"/>
  <c r="N71" i="1" l="1"/>
  <c r="M71" i="1" a="1"/>
  <c r="M71" i="1" l="1"/>
  <c r="L71" i="1" a="1"/>
  <c r="L71" i="1" l="1"/>
  <c r="K71" i="1" a="1"/>
  <c r="K71" i="1" l="1"/>
  <c r="J71" i="1" a="1"/>
  <c r="J71" i="1" l="1"/>
  <c r="I71" i="1" a="1"/>
  <c r="I71" i="1" l="1"/>
  <c r="H71" i="1" a="1"/>
  <c r="H71" i="1" l="1"/>
  <c r="G71" i="1" a="1"/>
  <c r="G71" i="1" l="1"/>
  <c r="O71" i="1" s="1"/>
  <c r="F71" i="1" a="1"/>
  <c r="F71" i="1" l="1"/>
  <c r="N70" i="1" a="1"/>
  <c r="N70" i="1" l="1"/>
  <c r="M70" i="1" a="1"/>
  <c r="M70" i="1" l="1"/>
  <c r="L70" i="1" a="1"/>
  <c r="L70" i="1" l="1"/>
  <c r="K70" i="1" a="1"/>
  <c r="K70" i="1" l="1"/>
  <c r="J70" i="1" a="1"/>
  <c r="J70" i="1" l="1"/>
  <c r="I70" i="1" a="1"/>
  <c r="I70" i="1" l="1"/>
  <c r="H70" i="1" a="1"/>
  <c r="H70" i="1" l="1"/>
  <c r="G70" i="1" a="1"/>
  <c r="G70" i="1" l="1"/>
  <c r="O70" i="1" s="1"/>
  <c r="F70" i="1" a="1"/>
  <c r="F70" i="1" l="1"/>
  <c r="N69" i="1" a="1"/>
  <c r="N69" i="1" l="1"/>
  <c r="M69" i="1" a="1"/>
  <c r="M69" i="1" l="1"/>
  <c r="L69" i="1" a="1"/>
  <c r="L69" i="1" l="1"/>
  <c r="K69" i="1" a="1"/>
  <c r="K69" i="1" l="1"/>
  <c r="J69" i="1" a="1"/>
  <c r="J69" i="1" l="1"/>
  <c r="I69" i="1" a="1"/>
  <c r="I69" i="1" l="1"/>
  <c r="H69" i="1" a="1"/>
  <c r="H69" i="1" l="1"/>
  <c r="G69" i="1" a="1"/>
  <c r="G69" i="1" l="1"/>
  <c r="O69" i="1" s="1"/>
  <c r="F69" i="1" a="1"/>
  <c r="F69" i="1" l="1"/>
  <c r="N68" i="1" a="1"/>
  <c r="N68" i="1" l="1"/>
  <c r="M68" i="1" a="1"/>
  <c r="M68" i="1" l="1"/>
  <c r="L68" i="1" a="1"/>
  <c r="L68" i="1" l="1"/>
  <c r="K68" i="1" a="1"/>
  <c r="K68" i="1" l="1"/>
  <c r="J68" i="1" a="1"/>
  <c r="J68" i="1" l="1"/>
  <c r="I68" i="1" a="1"/>
  <c r="I68" i="1" l="1"/>
  <c r="H68" i="1" a="1"/>
  <c r="H68" i="1" l="1"/>
  <c r="G68" i="1" a="1"/>
  <c r="G68" i="1" l="1"/>
  <c r="O68" i="1" s="1"/>
  <c r="F68" i="1" a="1"/>
  <c r="F68" i="1" l="1"/>
  <c r="N67" i="1" a="1"/>
  <c r="N67" i="1" l="1"/>
  <c r="M67" i="1" a="1"/>
  <c r="M67" i="1" l="1"/>
  <c r="L67" i="1" a="1"/>
  <c r="L67" i="1" l="1"/>
  <c r="K67" i="1" a="1"/>
  <c r="K67" i="1" l="1"/>
  <c r="J67" i="1" a="1"/>
  <c r="J67" i="1" l="1"/>
  <c r="I67" i="1" a="1"/>
  <c r="I67" i="1" l="1"/>
  <c r="H67" i="1" a="1"/>
  <c r="H67" i="1" l="1"/>
  <c r="G67" i="1" a="1"/>
  <c r="G67" i="1" l="1"/>
  <c r="O67" i="1" s="1"/>
  <c r="F67" i="1" a="1"/>
  <c r="F67" i="1" l="1"/>
  <c r="N66" i="1" a="1"/>
  <c r="N66" i="1" l="1"/>
  <c r="M66" i="1" a="1"/>
  <c r="M66" i="1" l="1"/>
  <c r="L66" i="1" a="1"/>
  <c r="L66" i="1" l="1"/>
  <c r="K66" i="1" a="1"/>
  <c r="K66" i="1" l="1"/>
  <c r="J66" i="1" a="1"/>
  <c r="J66" i="1" l="1"/>
  <c r="I66" i="1" a="1"/>
  <c r="I66" i="1" l="1"/>
  <c r="H66" i="1" a="1"/>
  <c r="H66" i="1" l="1"/>
  <c r="G66" i="1" a="1"/>
  <c r="G66" i="1" l="1"/>
  <c r="O66" i="1" s="1"/>
  <c r="F66" i="1" a="1"/>
  <c r="F66" i="1" l="1"/>
  <c r="N65" i="1" a="1"/>
  <c r="N65" i="1" l="1"/>
  <c r="M65" i="1" a="1"/>
  <c r="M65" i="1" l="1"/>
  <c r="L65" i="1" a="1"/>
  <c r="L65" i="1" l="1"/>
  <c r="K65" i="1" a="1"/>
  <c r="K65" i="1" l="1"/>
  <c r="J65" i="1" a="1"/>
  <c r="J65" i="1" l="1"/>
  <c r="I65" i="1" a="1"/>
  <c r="I65" i="1" l="1"/>
  <c r="H65" i="1" a="1"/>
  <c r="H65" i="1" l="1"/>
  <c r="G65" i="1" a="1"/>
  <c r="G65" i="1" l="1"/>
  <c r="O65" i="1" s="1"/>
  <c r="F65" i="1" a="1"/>
  <c r="F65" i="1" l="1"/>
  <c r="N64" i="1" a="1"/>
  <c r="N64" i="1" l="1"/>
  <c r="M64" i="1" a="1"/>
  <c r="M64" i="1" l="1"/>
  <c r="L64" i="1" a="1"/>
  <c r="L64" i="1" l="1"/>
  <c r="K64" i="1" a="1"/>
  <c r="K64" i="1" l="1"/>
  <c r="J64" i="1" a="1"/>
  <c r="J64" i="1" l="1"/>
  <c r="I64" i="1" a="1"/>
  <c r="I64" i="1" l="1"/>
  <c r="H64" i="1" a="1"/>
  <c r="H64" i="1" l="1"/>
  <c r="G64" i="1" a="1"/>
  <c r="G64" i="1" l="1"/>
  <c r="O64" i="1" s="1"/>
  <c r="F64" i="1" a="1"/>
  <c r="F64" i="1" l="1"/>
  <c r="N63" i="1" a="1"/>
  <c r="N63" i="1" l="1"/>
  <c r="M63" i="1" a="1"/>
  <c r="M63" i="1" l="1"/>
  <c r="L63" i="1" a="1"/>
  <c r="L63" i="1" l="1"/>
  <c r="K63" i="1" a="1"/>
  <c r="K63" i="1" l="1"/>
  <c r="J63" i="1" a="1"/>
  <c r="J63" i="1" l="1"/>
  <c r="I63" i="1" a="1"/>
  <c r="I63" i="1" l="1"/>
  <c r="H63" i="1" a="1"/>
  <c r="H63" i="1" l="1"/>
  <c r="G63" i="1" a="1"/>
  <c r="G63" i="1" l="1"/>
  <c r="O63" i="1" s="1"/>
  <c r="F63" i="1" a="1"/>
  <c r="F63" i="1" l="1"/>
  <c r="N62" i="1" a="1"/>
  <c r="N62" i="1" l="1"/>
  <c r="M62" i="1" a="1"/>
  <c r="M62" i="1" l="1"/>
  <c r="L62" i="1" a="1"/>
  <c r="L62" i="1" l="1"/>
  <c r="K62" i="1" a="1"/>
  <c r="K62" i="1" l="1"/>
  <c r="J62" i="1" a="1"/>
  <c r="J62" i="1" l="1"/>
  <c r="I62" i="1" a="1"/>
  <c r="I62" i="1" l="1"/>
  <c r="H62" i="1" a="1"/>
  <c r="H62" i="1" l="1"/>
  <c r="G62" i="1" a="1"/>
  <c r="G62" i="1" l="1"/>
  <c r="O62" i="1" s="1"/>
  <c r="F62" i="1" a="1"/>
  <c r="F62" i="1" l="1"/>
  <c r="N61" i="1" a="1"/>
  <c r="N61" i="1" l="1"/>
  <c r="M61" i="1" a="1"/>
  <c r="M61" i="1" l="1"/>
  <c r="L61" i="1" a="1"/>
  <c r="L61" i="1" l="1"/>
  <c r="K61" i="1" a="1"/>
  <c r="K61" i="1" l="1"/>
  <c r="J61" i="1" a="1"/>
  <c r="J61" i="1" l="1"/>
  <c r="I61" i="1" a="1"/>
  <c r="I61" i="1" l="1"/>
  <c r="H61" i="1" a="1"/>
  <c r="H61" i="1" l="1"/>
  <c r="G61" i="1" a="1"/>
  <c r="G61" i="1" l="1"/>
  <c r="O61" i="1" s="1"/>
  <c r="F61" i="1" a="1"/>
  <c r="F61" i="1" l="1"/>
  <c r="N60" i="1" a="1"/>
  <c r="N60" i="1" l="1"/>
  <c r="M60" i="1" a="1"/>
  <c r="M60" i="1" l="1"/>
  <c r="L60" i="1" a="1"/>
  <c r="L60" i="1" l="1"/>
  <c r="K60" i="1" a="1"/>
  <c r="K60" i="1" l="1"/>
  <c r="J60" i="1" a="1"/>
  <c r="J60" i="1" l="1"/>
  <c r="I60" i="1" a="1"/>
  <c r="I60" i="1" l="1"/>
  <c r="H60" i="1" a="1"/>
  <c r="H60" i="1" l="1"/>
  <c r="G60" i="1" a="1"/>
  <c r="G60" i="1" l="1"/>
  <c r="O60" i="1" s="1"/>
  <c r="F60" i="1" a="1"/>
  <c r="F60" i="1" l="1"/>
  <c r="N59" i="1" a="1"/>
  <c r="N59" i="1" l="1"/>
  <c r="M59" i="1" a="1"/>
  <c r="M59" i="1" l="1"/>
  <c r="L59" i="1" a="1"/>
  <c r="L59" i="1" l="1"/>
  <c r="K59" i="1" a="1"/>
  <c r="K59" i="1" l="1"/>
  <c r="J59" i="1" a="1"/>
  <c r="J59" i="1" l="1"/>
  <c r="I59" i="1" a="1"/>
  <c r="I59" i="1" l="1"/>
  <c r="H59" i="1" a="1"/>
  <c r="H59" i="1" l="1"/>
  <c r="G59" i="1" a="1"/>
  <c r="G59" i="1" l="1"/>
  <c r="O59" i="1" s="1"/>
  <c r="F59" i="1" a="1"/>
  <c r="F59" i="1" l="1"/>
  <c r="N58" i="1" a="1"/>
  <c r="N58" i="1" l="1"/>
  <c r="M58" i="1" a="1"/>
  <c r="M58" i="1" l="1"/>
  <c r="L58" i="1" a="1"/>
  <c r="L58" i="1" l="1"/>
  <c r="K58" i="1" a="1"/>
  <c r="K58" i="1" l="1"/>
  <c r="J58" i="1" a="1"/>
  <c r="J58" i="1" l="1"/>
  <c r="I58" i="1" a="1"/>
  <c r="I58" i="1" l="1"/>
  <c r="H58" i="1" a="1"/>
  <c r="H58" i="1" l="1"/>
  <c r="G58" i="1" a="1"/>
  <c r="G58" i="1" l="1"/>
  <c r="O58" i="1" s="1"/>
  <c r="F58" i="1" a="1"/>
  <c r="F58" i="1" l="1"/>
  <c r="N57" i="1" a="1"/>
  <c r="N57" i="1" l="1"/>
  <c r="M57" i="1" a="1"/>
  <c r="M57" i="1" l="1"/>
  <c r="L57" i="1" a="1"/>
  <c r="L57" i="1" l="1"/>
  <c r="K57" i="1" a="1"/>
  <c r="K57" i="1" l="1"/>
  <c r="J57" i="1" a="1"/>
  <c r="J57" i="1" l="1"/>
  <c r="I57" i="1" a="1"/>
  <c r="I57" i="1" l="1"/>
  <c r="H57" i="1" a="1"/>
  <c r="H57" i="1" l="1"/>
  <c r="G57" i="1" a="1"/>
  <c r="G57" i="1" l="1"/>
  <c r="O57" i="1" s="1"/>
  <c r="F57" i="1" a="1"/>
  <c r="F57" i="1" l="1"/>
  <c r="N56" i="1" a="1"/>
  <c r="N56" i="1" l="1"/>
  <c r="M56" i="1" a="1"/>
  <c r="M56" i="1" l="1"/>
  <c r="L56" i="1" a="1"/>
  <c r="L56" i="1" l="1"/>
  <c r="K56" i="1" a="1"/>
  <c r="K56" i="1" l="1"/>
  <c r="J56" i="1" a="1"/>
  <c r="J56" i="1" l="1"/>
  <c r="I56" i="1" a="1"/>
  <c r="I56" i="1" l="1"/>
  <c r="H56" i="1" a="1"/>
  <c r="H56" i="1" l="1"/>
  <c r="G56" i="1" a="1"/>
  <c r="G56" i="1" l="1"/>
  <c r="O56" i="1" s="1"/>
  <c r="F56" i="1" a="1"/>
  <c r="F56" i="1" l="1"/>
  <c r="N55" i="1" a="1"/>
  <c r="N55" i="1" l="1"/>
  <c r="M55" i="1" a="1"/>
  <c r="M55" i="1" l="1"/>
  <c r="L55" i="1" a="1"/>
  <c r="L55" i="1" l="1"/>
  <c r="K55" i="1" a="1"/>
  <c r="K55" i="1" l="1"/>
  <c r="J55" i="1" a="1"/>
  <c r="J55" i="1" l="1"/>
  <c r="I55" i="1" a="1"/>
  <c r="I55" i="1" l="1"/>
  <c r="H55" i="1" a="1"/>
  <c r="H55" i="1" l="1"/>
  <c r="G55" i="1" a="1"/>
  <c r="G55" i="1" l="1"/>
  <c r="O55" i="1" s="1"/>
  <c r="F55" i="1" a="1"/>
  <c r="F55" i="1" l="1"/>
  <c r="N54" i="1" a="1"/>
  <c r="N54" i="1" l="1"/>
  <c r="M54" i="1" a="1"/>
  <c r="M54" i="1" l="1"/>
  <c r="L54" i="1" a="1"/>
  <c r="L54" i="1" l="1"/>
  <c r="K54" i="1" a="1"/>
  <c r="K54" i="1" l="1"/>
  <c r="J54" i="1" a="1"/>
  <c r="J54" i="1" l="1"/>
  <c r="I54" i="1" a="1"/>
  <c r="I54" i="1" l="1"/>
  <c r="H54" i="1" a="1"/>
  <c r="H54" i="1" l="1"/>
  <c r="G54" i="1" a="1"/>
  <c r="G54" i="1" l="1"/>
  <c r="O54" i="1" s="1"/>
  <c r="F54" i="1" a="1"/>
  <c r="F54" i="1" l="1"/>
  <c r="N53" i="1" a="1"/>
  <c r="N53" i="1" l="1"/>
  <c r="M53" i="1" a="1"/>
  <c r="M53" i="1" l="1"/>
  <c r="L53" i="1" a="1"/>
  <c r="L53" i="1" l="1"/>
  <c r="K53" i="1" a="1"/>
  <c r="K53" i="1" l="1"/>
  <c r="J53" i="1" a="1"/>
  <c r="J53" i="1" l="1"/>
  <c r="I53" i="1" a="1"/>
  <c r="I53" i="1" l="1"/>
  <c r="H53" i="1" a="1"/>
  <c r="H53" i="1" l="1"/>
  <c r="G53" i="1" a="1"/>
  <c r="G53" i="1" l="1"/>
  <c r="O53" i="1" s="1"/>
  <c r="F53" i="1" a="1"/>
  <c r="F53" i="1" l="1"/>
  <c r="N52" i="1" a="1"/>
  <c r="N52" i="1" l="1"/>
  <c r="M52" i="1" a="1"/>
  <c r="M52" i="1" l="1"/>
  <c r="L52" i="1" a="1"/>
  <c r="L52" i="1" l="1"/>
  <c r="K52" i="1" a="1"/>
  <c r="K52" i="1" l="1"/>
  <c r="J52" i="1" a="1"/>
  <c r="J52" i="1" l="1"/>
  <c r="I52" i="1" a="1"/>
  <c r="I52" i="1" l="1"/>
  <c r="H52" i="1" a="1"/>
  <c r="H52" i="1" l="1"/>
  <c r="G52" i="1" a="1"/>
  <c r="G52" i="1" l="1"/>
  <c r="O52" i="1" s="1"/>
  <c r="F52" i="1" a="1"/>
  <c r="F52" i="1" l="1"/>
  <c r="N51" i="1" a="1"/>
  <c r="N51" i="1" l="1"/>
  <c r="M51" i="1" a="1"/>
  <c r="M51" i="1" l="1"/>
  <c r="L51" i="1" a="1"/>
  <c r="L51" i="1" l="1"/>
  <c r="K51" i="1" a="1"/>
  <c r="K51" i="1" l="1"/>
  <c r="J51" i="1" a="1"/>
  <c r="J51" i="1" l="1"/>
  <c r="I51" i="1" a="1"/>
  <c r="I51" i="1" l="1"/>
  <c r="H51" i="1" a="1"/>
  <c r="H51" i="1" l="1"/>
  <c r="G51" i="1" a="1"/>
  <c r="G51" i="1" l="1"/>
  <c r="O51" i="1" s="1"/>
  <c r="F51" i="1" a="1"/>
  <c r="F51" i="1" l="1"/>
  <c r="N50" i="1" a="1"/>
  <c r="N50" i="1" l="1"/>
  <c r="M50" i="1" a="1"/>
  <c r="M50" i="1" l="1"/>
  <c r="L50" i="1" a="1"/>
  <c r="L50" i="1" l="1"/>
  <c r="K50" i="1" a="1"/>
  <c r="K50" i="1" l="1"/>
  <c r="J50" i="1" a="1"/>
  <c r="J50" i="1" l="1"/>
  <c r="I50" i="1" a="1"/>
  <c r="I50" i="1" l="1"/>
  <c r="H50" i="1" a="1"/>
  <c r="H50" i="1" l="1"/>
  <c r="G50" i="1" a="1"/>
  <c r="G50" i="1" l="1"/>
  <c r="O50" i="1" s="1"/>
  <c r="F50" i="1" a="1"/>
  <c r="F50" i="1" l="1"/>
  <c r="N49" i="1" a="1"/>
  <c r="N49" i="1" l="1"/>
  <c r="M49" i="1" a="1"/>
  <c r="M49" i="1" l="1"/>
  <c r="L49" i="1" a="1"/>
  <c r="L49" i="1" l="1"/>
  <c r="K49" i="1" a="1"/>
  <c r="K49" i="1" l="1"/>
  <c r="J49" i="1" a="1"/>
  <c r="J49" i="1" l="1"/>
  <c r="I49" i="1" a="1"/>
  <c r="I49" i="1" l="1"/>
  <c r="H49" i="1" a="1"/>
  <c r="H49" i="1" l="1"/>
  <c r="G49" i="1" a="1"/>
  <c r="G49" i="1" l="1"/>
  <c r="O49" i="1" s="1"/>
  <c r="F49" i="1" a="1"/>
  <c r="F49" i="1" l="1"/>
  <c r="N48" i="1" a="1"/>
  <c r="N48" i="1" l="1"/>
  <c r="M48" i="1" a="1"/>
  <c r="M48" i="1" l="1"/>
  <c r="L48" i="1" a="1"/>
  <c r="L48" i="1" l="1"/>
  <c r="K48" i="1" a="1"/>
  <c r="K48" i="1" l="1"/>
  <c r="J48" i="1" a="1"/>
  <c r="J48" i="1" l="1"/>
  <c r="I48" i="1" a="1"/>
  <c r="I48" i="1" l="1"/>
  <c r="H48" i="1" a="1"/>
  <c r="H48" i="1" l="1"/>
  <c r="G48" i="1" a="1"/>
  <c r="G48" i="1" l="1"/>
  <c r="O48" i="1" s="1"/>
  <c r="F48" i="1" a="1"/>
  <c r="F48" i="1" l="1"/>
  <c r="N47" i="1" a="1"/>
  <c r="N47" i="1" l="1"/>
  <c r="M47" i="1" a="1"/>
  <c r="M47" i="1" l="1"/>
  <c r="L47" i="1" a="1"/>
  <c r="L47" i="1" l="1"/>
  <c r="K47" i="1" a="1"/>
  <c r="K47" i="1" l="1"/>
  <c r="J47" i="1" a="1"/>
  <c r="J47" i="1" l="1"/>
  <c r="I47" i="1" a="1"/>
  <c r="I47" i="1" l="1"/>
  <c r="H47" i="1" a="1"/>
  <c r="H47" i="1" l="1"/>
  <c r="G47" i="1" a="1"/>
  <c r="G47" i="1" l="1"/>
  <c r="O47" i="1" s="1"/>
  <c r="F47" i="1" a="1"/>
  <c r="F47" i="1" l="1"/>
  <c r="N46" i="1" a="1"/>
  <c r="N46" i="1" l="1"/>
  <c r="M46" i="1" a="1"/>
  <c r="M46" i="1" l="1"/>
  <c r="L46" i="1" a="1"/>
  <c r="L46" i="1" l="1"/>
  <c r="K46" i="1" a="1"/>
  <c r="K46" i="1" l="1"/>
  <c r="J46" i="1" a="1"/>
  <c r="J46" i="1" l="1"/>
  <c r="I46" i="1" a="1"/>
  <c r="I46" i="1" l="1"/>
  <c r="H46" i="1" a="1"/>
  <c r="H46" i="1" l="1"/>
  <c r="G46" i="1" a="1"/>
  <c r="G46" i="1" l="1"/>
  <c r="O46" i="1" s="1"/>
  <c r="F46" i="1" a="1"/>
  <c r="F46" i="1" l="1"/>
  <c r="N45" i="1" a="1"/>
  <c r="N45" i="1" l="1"/>
  <c r="M45" i="1" a="1"/>
  <c r="M45" i="1" l="1"/>
  <c r="L45" i="1" a="1"/>
  <c r="L45" i="1" l="1"/>
  <c r="K45" i="1" a="1"/>
  <c r="K45" i="1" l="1"/>
  <c r="J45" i="1" a="1"/>
  <c r="J45" i="1" l="1"/>
  <c r="I45" i="1" a="1"/>
  <c r="I45" i="1" l="1"/>
  <c r="H45" i="1" a="1"/>
  <c r="H45" i="1" l="1"/>
  <c r="G45" i="1" a="1"/>
  <c r="G45" i="1" l="1"/>
  <c r="O45" i="1" s="1"/>
  <c r="F45" i="1" a="1"/>
  <c r="F45" i="1" l="1"/>
  <c r="N44" i="1" a="1"/>
  <c r="N44" i="1" l="1"/>
  <c r="M44" i="1" a="1"/>
  <c r="M44" i="1" l="1"/>
  <c r="L44" i="1" a="1"/>
  <c r="L44" i="1" l="1"/>
  <c r="K44" i="1" a="1"/>
  <c r="K44" i="1" l="1"/>
  <c r="J44" i="1" a="1"/>
  <c r="J44" i="1" l="1"/>
  <c r="I44" i="1" a="1"/>
  <c r="I44" i="1" l="1"/>
  <c r="H44" i="1" a="1"/>
  <c r="H44" i="1" l="1"/>
  <c r="G44" i="1" a="1"/>
  <c r="G44" i="1" l="1"/>
  <c r="O44" i="1" s="1"/>
  <c r="F44" i="1" a="1"/>
  <c r="F44" i="1" l="1"/>
  <c r="N43" i="1" a="1"/>
  <c r="N43" i="1" l="1"/>
  <c r="M43" i="1" a="1"/>
  <c r="M43" i="1" l="1"/>
  <c r="L43" i="1" a="1"/>
  <c r="L43" i="1" l="1"/>
  <c r="K43" i="1" a="1"/>
  <c r="K43" i="1" l="1"/>
  <c r="J43" i="1" a="1"/>
  <c r="J43" i="1" l="1"/>
  <c r="I43" i="1" a="1"/>
  <c r="I43" i="1" l="1"/>
  <c r="H43" i="1" a="1"/>
  <c r="H43" i="1" l="1"/>
  <c r="G43" i="1" a="1"/>
  <c r="G43" i="1" l="1"/>
  <c r="O43" i="1" s="1"/>
  <c r="F43" i="1" a="1"/>
  <c r="F43" i="1" l="1"/>
  <c r="N42" i="1" a="1"/>
  <c r="N42" i="1" l="1"/>
  <c r="M42" i="1" a="1"/>
  <c r="M42" i="1" l="1"/>
  <c r="L42" i="1" a="1"/>
  <c r="L42" i="1" l="1"/>
  <c r="K42" i="1" a="1"/>
  <c r="K42" i="1" l="1"/>
  <c r="J42" i="1" a="1"/>
  <c r="J42" i="1" l="1"/>
  <c r="I42" i="1" a="1"/>
  <c r="I42" i="1" l="1"/>
  <c r="H42" i="1" a="1"/>
  <c r="H42" i="1" l="1"/>
  <c r="G42" i="1" a="1"/>
  <c r="G42" i="1" l="1"/>
  <c r="O42" i="1" s="1"/>
  <c r="F42" i="1" a="1"/>
  <c r="F42" i="1" l="1"/>
  <c r="N41" i="1" a="1"/>
  <c r="N41" i="1" l="1"/>
  <c r="M41" i="1" a="1"/>
  <c r="M41" i="1" l="1"/>
  <c r="L41" i="1" a="1"/>
  <c r="L41" i="1" l="1"/>
  <c r="K41" i="1" a="1"/>
  <c r="K41" i="1" l="1"/>
  <c r="J41" i="1" a="1"/>
  <c r="J41" i="1" l="1"/>
  <c r="I41" i="1" a="1"/>
  <c r="I41" i="1" l="1"/>
  <c r="H41" i="1" a="1"/>
  <c r="H41" i="1" l="1"/>
  <c r="G41" i="1" a="1"/>
  <c r="G41" i="1" l="1"/>
  <c r="O41" i="1" s="1"/>
  <c r="F41" i="1" a="1"/>
  <c r="F41" i="1" l="1"/>
  <c r="N40" i="1" a="1"/>
  <c r="N40" i="1" l="1"/>
  <c r="M40" i="1" a="1"/>
  <c r="M40" i="1" l="1"/>
  <c r="L40" i="1" a="1"/>
  <c r="L40" i="1" l="1"/>
  <c r="K40" i="1" a="1"/>
  <c r="K40" i="1" l="1"/>
  <c r="J40" i="1" a="1"/>
  <c r="J40" i="1" l="1"/>
  <c r="I40" i="1" a="1"/>
  <c r="I40" i="1" l="1"/>
  <c r="H40" i="1" a="1"/>
  <c r="H40" i="1" l="1"/>
  <c r="G40" i="1" a="1"/>
  <c r="G40" i="1" l="1"/>
  <c r="O40" i="1" s="1"/>
  <c r="F40" i="1" a="1"/>
  <c r="F40" i="1" l="1"/>
  <c r="N39" i="1" a="1"/>
  <c r="N39" i="1" l="1"/>
  <c r="M39" i="1" a="1"/>
  <c r="M39" i="1" l="1"/>
  <c r="L39" i="1" a="1"/>
  <c r="L39" i="1" l="1"/>
  <c r="K39" i="1" a="1"/>
  <c r="K39" i="1" l="1"/>
  <c r="J39" i="1" a="1"/>
  <c r="J39" i="1" l="1"/>
  <c r="I39" i="1" a="1"/>
  <c r="I39" i="1" l="1"/>
  <c r="H39" i="1" a="1"/>
  <c r="H39" i="1" l="1"/>
  <c r="G39" i="1" a="1"/>
  <c r="G39" i="1" l="1"/>
  <c r="O39" i="1" s="1"/>
  <c r="F39" i="1" a="1"/>
  <c r="F39" i="1" l="1"/>
  <c r="N38" i="1" a="1"/>
  <c r="N38" i="1" l="1"/>
  <c r="M38" i="1" a="1"/>
  <c r="M38" i="1" l="1"/>
  <c r="L38" i="1" a="1"/>
  <c r="L38" i="1" l="1"/>
  <c r="K38" i="1" a="1"/>
  <c r="K38" i="1" l="1"/>
  <c r="J38" i="1" a="1"/>
  <c r="J38" i="1" l="1"/>
  <c r="I38" i="1" a="1"/>
  <c r="I38" i="1" l="1"/>
  <c r="H38" i="1" a="1"/>
  <c r="H38" i="1" l="1"/>
  <c r="G38" i="1" a="1"/>
  <c r="G38" i="1" l="1"/>
  <c r="O38" i="1" s="1"/>
  <c r="F38" i="1" a="1"/>
  <c r="F38" i="1" l="1"/>
  <c r="N37" i="1" a="1"/>
  <c r="N37" i="1" l="1"/>
  <c r="M37" i="1" a="1"/>
  <c r="M37" i="1" l="1"/>
  <c r="L37" i="1" a="1"/>
  <c r="L37" i="1" l="1"/>
  <c r="K37" i="1" a="1"/>
  <c r="K37" i="1" l="1"/>
  <c r="J37" i="1" a="1"/>
  <c r="J37" i="1" l="1"/>
  <c r="I37" i="1" a="1"/>
  <c r="I37" i="1" l="1"/>
  <c r="H37" i="1" a="1"/>
  <c r="H37" i="1" l="1"/>
  <c r="G37" i="1" a="1"/>
  <c r="G37" i="1" l="1"/>
  <c r="O37" i="1" s="1"/>
  <c r="F37" i="1" a="1"/>
  <c r="F37" i="1" l="1"/>
  <c r="N36" i="1" a="1"/>
  <c r="N36" i="1" l="1"/>
  <c r="M36" i="1" a="1"/>
  <c r="M36" i="1" l="1"/>
  <c r="L36" i="1" a="1"/>
  <c r="L36" i="1" l="1"/>
  <c r="K36" i="1" a="1"/>
  <c r="K36" i="1" l="1"/>
  <c r="J36" i="1" a="1"/>
  <c r="J36" i="1" l="1"/>
  <c r="I36" i="1" a="1"/>
  <c r="I36" i="1" l="1"/>
  <c r="H36" i="1" a="1"/>
  <c r="H36" i="1" l="1"/>
  <c r="G36" i="1" a="1"/>
  <c r="G36" i="1" l="1"/>
  <c r="O36" i="1" s="1"/>
  <c r="F36" i="1" a="1"/>
  <c r="F36" i="1" l="1"/>
  <c r="N35" i="1" a="1"/>
  <c r="N35" i="1" l="1"/>
  <c r="M35" i="1" a="1"/>
  <c r="M35" i="1" l="1"/>
  <c r="L35" i="1" a="1"/>
  <c r="L35" i="1" l="1"/>
  <c r="K35" i="1" a="1"/>
  <c r="K35" i="1" l="1"/>
  <c r="J35" i="1" a="1"/>
  <c r="J35" i="1" l="1"/>
  <c r="I35" i="1" a="1"/>
  <c r="I35" i="1" l="1"/>
  <c r="H35" i="1" a="1"/>
  <c r="H35" i="1" l="1"/>
  <c r="G35" i="1" a="1"/>
  <c r="G35" i="1" l="1"/>
  <c r="O35" i="1" s="1"/>
  <c r="F35" i="1" a="1"/>
  <c r="F35" i="1" l="1"/>
  <c r="N34" i="1" a="1"/>
  <c r="N34" i="1" l="1"/>
  <c r="M34" i="1" a="1"/>
  <c r="M34" i="1" l="1"/>
  <c r="L34" i="1" a="1"/>
  <c r="L34" i="1" l="1"/>
  <c r="K34" i="1" a="1"/>
  <c r="K34" i="1" l="1"/>
  <c r="J34" i="1" a="1"/>
  <c r="J34" i="1" l="1"/>
  <c r="I34" i="1" a="1"/>
  <c r="I34" i="1" l="1"/>
  <c r="H34" i="1" a="1"/>
  <c r="H34" i="1" l="1"/>
  <c r="G34" i="1" a="1"/>
  <c r="G34" i="1" l="1"/>
  <c r="O34" i="1" s="1"/>
  <c r="F34" i="1" a="1"/>
  <c r="F34" i="1" l="1"/>
  <c r="N33" i="1" a="1"/>
  <c r="N33" i="1" l="1"/>
  <c r="M33" i="1" a="1"/>
  <c r="M33" i="1" l="1"/>
  <c r="L33" i="1" a="1"/>
  <c r="L33" i="1" l="1"/>
  <c r="K33" i="1" a="1"/>
  <c r="K33" i="1" l="1"/>
  <c r="J33" i="1" a="1"/>
  <c r="J33" i="1" l="1"/>
  <c r="I33" i="1" a="1"/>
  <c r="I33" i="1" l="1"/>
  <c r="H33" i="1" a="1"/>
  <c r="H33" i="1" l="1"/>
  <c r="G33" i="1" a="1"/>
  <c r="G33" i="1" l="1"/>
  <c r="O33" i="1" s="1"/>
  <c r="F33" i="1" a="1"/>
  <c r="F33" i="1" l="1"/>
  <c r="N32" i="1" a="1"/>
  <c r="N32" i="1" l="1"/>
  <c r="M32" i="1" a="1"/>
  <c r="M32" i="1" l="1"/>
  <c r="L32" i="1" a="1"/>
  <c r="L32" i="1" l="1"/>
  <c r="K32" i="1" a="1"/>
  <c r="K32" i="1" l="1"/>
  <c r="J32" i="1" a="1"/>
  <c r="J32" i="1" l="1"/>
  <c r="I32" i="1" a="1"/>
  <c r="I32" i="1" l="1"/>
  <c r="H32" i="1" a="1"/>
  <c r="H32" i="1" l="1"/>
  <c r="G32" i="1" a="1"/>
  <c r="G32" i="1" l="1"/>
  <c r="O32" i="1" s="1"/>
  <c r="F32" i="1" a="1"/>
  <c r="F32" i="1" l="1"/>
  <c r="N31" i="1" a="1"/>
  <c r="N31" i="1" l="1"/>
  <c r="M31" i="1" a="1"/>
  <c r="M31" i="1" l="1"/>
  <c r="L31" i="1" a="1"/>
  <c r="L31" i="1" l="1"/>
  <c r="K31" i="1" a="1"/>
  <c r="K31" i="1" l="1"/>
  <c r="J31" i="1" a="1"/>
  <c r="J31" i="1" l="1"/>
  <c r="I31" i="1" a="1"/>
  <c r="I31" i="1" l="1"/>
  <c r="H31" i="1" a="1"/>
  <c r="H31" i="1" l="1"/>
  <c r="G31" i="1" a="1"/>
  <c r="G31" i="1" l="1"/>
  <c r="O31" i="1" s="1"/>
  <c r="F31" i="1" a="1"/>
  <c r="F31" i="1" l="1"/>
  <c r="N30" i="1" a="1"/>
  <c r="N30" i="1" l="1"/>
  <c r="M30" i="1" a="1"/>
  <c r="M30" i="1" l="1"/>
  <c r="L30" i="1" a="1"/>
  <c r="L30" i="1" l="1"/>
  <c r="K30" i="1" a="1"/>
  <c r="K30" i="1" l="1"/>
  <c r="J30" i="1" a="1"/>
  <c r="J30" i="1" l="1"/>
  <c r="I30" i="1" a="1"/>
  <c r="I30" i="1" l="1"/>
  <c r="H30" i="1" a="1"/>
  <c r="H30" i="1" l="1"/>
  <c r="G30" i="1" a="1"/>
  <c r="G30" i="1" l="1"/>
  <c r="O30" i="1" s="1"/>
  <c r="F30" i="1" a="1"/>
  <c r="F30" i="1" l="1"/>
  <c r="N29" i="1" a="1"/>
  <c r="N29" i="1" l="1"/>
  <c r="M29" i="1" a="1"/>
  <c r="M29" i="1" l="1"/>
  <c r="L29" i="1" a="1"/>
  <c r="L29" i="1" l="1"/>
  <c r="K29" i="1" a="1"/>
  <c r="K29" i="1" l="1"/>
  <c r="J29" i="1" a="1"/>
  <c r="J29" i="1" l="1"/>
  <c r="I29" i="1" a="1"/>
  <c r="I29" i="1" l="1"/>
  <c r="H29" i="1" a="1"/>
  <c r="H29" i="1" l="1"/>
  <c r="G29" i="1" a="1"/>
  <c r="G29" i="1" l="1"/>
  <c r="O29" i="1" s="1"/>
  <c r="F29" i="1" a="1"/>
  <c r="F29" i="1" l="1"/>
  <c r="N28" i="1" a="1"/>
  <c r="N28" i="1" l="1"/>
  <c r="M28" i="1" a="1"/>
  <c r="M28" i="1" l="1"/>
  <c r="L28" i="1" a="1"/>
  <c r="L28" i="1" l="1"/>
  <c r="K28" i="1" a="1"/>
  <c r="K28" i="1" l="1"/>
  <c r="J28" i="1" a="1"/>
  <c r="J28" i="1" l="1"/>
  <c r="I28" i="1" a="1"/>
  <c r="I28" i="1" l="1"/>
  <c r="H28" i="1" a="1"/>
  <c r="H28" i="1" l="1"/>
  <c r="G28" i="1" a="1"/>
  <c r="G28" i="1" l="1"/>
  <c r="O28" i="1" s="1"/>
  <c r="F28" i="1" a="1"/>
  <c r="F28" i="1" l="1"/>
  <c r="N27" i="1" a="1"/>
  <c r="N27" i="1" l="1"/>
  <c r="M27" i="1" a="1"/>
  <c r="M27" i="1" l="1"/>
  <c r="L27" i="1" a="1"/>
  <c r="L27" i="1" l="1"/>
  <c r="K27" i="1" a="1"/>
  <c r="K27" i="1" l="1"/>
  <c r="J27" i="1" a="1"/>
  <c r="J27" i="1" l="1"/>
  <c r="I27" i="1" a="1"/>
  <c r="I27" i="1" l="1"/>
  <c r="H27" i="1" a="1"/>
  <c r="H27" i="1" l="1"/>
  <c r="G27" i="1" a="1"/>
  <c r="G27" i="1" l="1"/>
  <c r="O27" i="1" s="1"/>
  <c r="F27" i="1" a="1"/>
  <c r="F27" i="1" l="1"/>
  <c r="N26" i="1" a="1"/>
  <c r="N26" i="1" l="1"/>
  <c r="M26" i="1" a="1"/>
  <c r="M26" i="1" l="1"/>
  <c r="L26" i="1" a="1"/>
  <c r="L26" i="1" l="1"/>
  <c r="K26" i="1" a="1"/>
  <c r="K26" i="1" l="1"/>
  <c r="J26" i="1" a="1"/>
  <c r="J26" i="1" l="1"/>
  <c r="I26" i="1" a="1"/>
  <c r="I26" i="1" l="1"/>
  <c r="H26" i="1" a="1"/>
  <c r="H26" i="1" l="1"/>
  <c r="G26" i="1" a="1"/>
  <c r="G26" i="1" l="1"/>
  <c r="O26" i="1" s="1"/>
  <c r="F26" i="1" a="1"/>
  <c r="F26" i="1" l="1"/>
  <c r="N25" i="1" a="1"/>
  <c r="N25" i="1" l="1"/>
  <c r="M25" i="1" a="1"/>
  <c r="M25" i="1" l="1"/>
  <c r="L25" i="1" a="1"/>
  <c r="L25" i="1" l="1"/>
  <c r="K25" i="1" a="1"/>
  <c r="K25" i="1" l="1"/>
  <c r="J25" i="1" a="1"/>
  <c r="J25" i="1" l="1"/>
  <c r="I25" i="1" a="1"/>
  <c r="I25" i="1" l="1"/>
  <c r="H25" i="1" a="1"/>
  <c r="H25" i="1" l="1"/>
  <c r="G25" i="1" a="1"/>
  <c r="G25" i="1" l="1"/>
  <c r="O25" i="1" s="1"/>
  <c r="F25" i="1" a="1"/>
  <c r="F25" i="1" l="1"/>
  <c r="N24" i="1" a="1"/>
  <c r="N24" i="1" l="1"/>
  <c r="M24" i="1" a="1"/>
  <c r="M24" i="1" l="1"/>
  <c r="L24" i="1" a="1"/>
  <c r="L24" i="1" l="1"/>
  <c r="K24" i="1" a="1"/>
  <c r="K24" i="1" l="1"/>
  <c r="J24" i="1" a="1"/>
  <c r="J24" i="1" l="1"/>
  <c r="I24" i="1" a="1"/>
  <c r="I24" i="1" l="1"/>
  <c r="H24" i="1" a="1"/>
  <c r="H24" i="1" l="1"/>
  <c r="G24" i="1" a="1"/>
  <c r="G24" i="1" l="1"/>
  <c r="O24" i="1" s="1"/>
  <c r="F24" i="1" a="1"/>
  <c r="F24" i="1" l="1"/>
  <c r="N23" i="1" a="1"/>
  <c r="N23" i="1" l="1"/>
  <c r="M23" i="1" a="1"/>
  <c r="M23" i="1" l="1"/>
  <c r="L23" i="1" a="1"/>
  <c r="L23" i="1" l="1"/>
  <c r="K23" i="1" a="1"/>
  <c r="K23" i="1" l="1"/>
  <c r="J23" i="1" a="1"/>
  <c r="J23" i="1" l="1"/>
  <c r="I23" i="1" a="1"/>
  <c r="I23" i="1" l="1"/>
  <c r="H23" i="1" a="1"/>
  <c r="H23" i="1" l="1"/>
  <c r="G23" i="1" a="1"/>
  <c r="G23" i="1" l="1"/>
  <c r="O23" i="1" s="1"/>
  <c r="F23" i="1" a="1"/>
  <c r="F23" i="1" l="1"/>
  <c r="N22" i="1" a="1"/>
  <c r="N22" i="1" l="1"/>
  <c r="M22" i="1" a="1"/>
  <c r="M22" i="1" l="1"/>
  <c r="L22" i="1" a="1"/>
  <c r="L22" i="1" l="1"/>
  <c r="K22" i="1" a="1"/>
  <c r="K22" i="1" l="1"/>
  <c r="J22" i="1" a="1"/>
  <c r="J22" i="1" l="1"/>
  <c r="I22" i="1" a="1"/>
  <c r="I22" i="1" l="1"/>
  <c r="H22" i="1" a="1"/>
  <c r="H22" i="1" l="1"/>
  <c r="G22" i="1" a="1"/>
  <c r="G22" i="1" l="1"/>
  <c r="O22" i="1" s="1"/>
  <c r="F22" i="1" a="1"/>
  <c r="F22" i="1" l="1"/>
  <c r="N21" i="1" a="1"/>
  <c r="N21" i="1" l="1"/>
  <c r="M21" i="1" a="1"/>
  <c r="M21" i="1" l="1"/>
  <c r="L21" i="1" a="1"/>
  <c r="L21" i="1" l="1"/>
  <c r="K21" i="1" a="1"/>
  <c r="K21" i="1" l="1"/>
  <c r="J21" i="1" a="1"/>
  <c r="J21" i="1" l="1"/>
  <c r="I21" i="1" a="1"/>
  <c r="I21" i="1" l="1"/>
  <c r="H21" i="1" a="1"/>
  <c r="H21" i="1" l="1"/>
  <c r="G21" i="1" a="1"/>
  <c r="G21" i="1" l="1"/>
  <c r="O21" i="1" s="1"/>
  <c r="F21" i="1" a="1"/>
  <c r="F21" i="1" l="1"/>
  <c r="N20" i="1" a="1"/>
  <c r="N20" i="1" l="1"/>
  <c r="M20" i="1" a="1"/>
  <c r="M20" i="1" l="1"/>
  <c r="L20" i="1" a="1"/>
  <c r="L20" i="1" l="1"/>
  <c r="K20" i="1" a="1"/>
  <c r="K20" i="1" l="1"/>
  <c r="J20" i="1" a="1"/>
  <c r="J20" i="1" l="1"/>
  <c r="I20" i="1" a="1"/>
  <c r="I20" i="1" l="1"/>
  <c r="H20" i="1" a="1"/>
  <c r="H20" i="1" l="1"/>
  <c r="G20" i="1" a="1"/>
  <c r="G20" i="1" l="1"/>
  <c r="O20" i="1" s="1"/>
  <c r="F20" i="1" a="1"/>
  <c r="F20" i="1" l="1"/>
  <c r="N19" i="1" a="1"/>
  <c r="N19" i="1" l="1"/>
  <c r="M19" i="1" a="1"/>
  <c r="M19" i="1" l="1"/>
  <c r="L19" i="1" a="1"/>
  <c r="L19" i="1" l="1"/>
  <c r="K19" i="1" a="1"/>
  <c r="K19" i="1" l="1"/>
  <c r="J19" i="1" a="1"/>
  <c r="J19" i="1" l="1"/>
  <c r="I19" i="1" a="1"/>
  <c r="I19" i="1" l="1"/>
  <c r="H19" i="1" a="1"/>
  <c r="H19" i="1" l="1"/>
  <c r="G19" i="1" a="1"/>
  <c r="G19" i="1" l="1"/>
  <c r="O19" i="1" s="1"/>
  <c r="F19" i="1" a="1"/>
  <c r="F19" i="1" l="1"/>
  <c r="N18" i="1" a="1"/>
  <c r="N18" i="1" l="1"/>
  <c r="M18" i="1" a="1"/>
  <c r="M18" i="1" l="1"/>
  <c r="L18" i="1" a="1"/>
  <c r="L18" i="1" l="1"/>
  <c r="K18" i="1" a="1"/>
  <c r="K18" i="1" l="1"/>
  <c r="J18" i="1" a="1"/>
  <c r="J18" i="1" l="1"/>
  <c r="I18" i="1" a="1"/>
  <c r="I18" i="1" l="1"/>
  <c r="H18" i="1" a="1"/>
  <c r="H18" i="1" l="1"/>
  <c r="G18" i="1" a="1"/>
  <c r="G18" i="1" l="1"/>
  <c r="O18" i="1" s="1"/>
  <c r="F18" i="1" a="1"/>
  <c r="F18" i="1" l="1"/>
  <c r="N17" i="1" a="1"/>
  <c r="N17" i="1" l="1"/>
  <c r="M17" i="1" a="1"/>
  <c r="M17" i="1" l="1"/>
  <c r="L17" i="1" a="1"/>
  <c r="L17" i="1" l="1"/>
  <c r="K17" i="1" a="1"/>
  <c r="K17" i="1" l="1"/>
  <c r="J17" i="1" a="1"/>
  <c r="J17" i="1" l="1"/>
  <c r="I17" i="1" a="1"/>
  <c r="I17" i="1" l="1"/>
  <c r="H17" i="1" a="1"/>
  <c r="H17" i="1" l="1"/>
  <c r="G17" i="1" a="1"/>
  <c r="G17" i="1" l="1"/>
  <c r="O17" i="1" s="1"/>
  <c r="F17" i="1" a="1"/>
  <c r="F17" i="1" l="1"/>
  <c r="N16" i="1" a="1"/>
  <c r="N16" i="1" l="1"/>
  <c r="M16" i="1" a="1"/>
  <c r="M16" i="1" l="1"/>
  <c r="L16" i="1" a="1"/>
  <c r="L16" i="1" l="1"/>
  <c r="K16" i="1" a="1"/>
  <c r="K16" i="1" l="1"/>
  <c r="J16" i="1" a="1"/>
  <c r="J16" i="1" l="1"/>
  <c r="I16" i="1" a="1"/>
  <c r="I16" i="1" l="1"/>
  <c r="H16" i="1" a="1"/>
  <c r="H16" i="1" l="1"/>
  <c r="G16" i="1" a="1"/>
  <c r="G16" i="1" l="1"/>
  <c r="O16" i="1" s="1"/>
  <c r="F16" i="1" a="1"/>
  <c r="F16" i="1" l="1"/>
  <c r="N15" i="1" a="1"/>
  <c r="N15" i="1" l="1"/>
  <c r="M15" i="1" a="1"/>
  <c r="M15" i="1" l="1"/>
  <c r="L15" i="1" a="1"/>
  <c r="L15" i="1" l="1"/>
  <c r="K15" i="1" a="1"/>
  <c r="K15" i="1" l="1"/>
  <c r="J15" i="1" a="1"/>
  <c r="J15" i="1" l="1"/>
  <c r="I15" i="1" a="1"/>
  <c r="I15" i="1" l="1"/>
  <c r="H15" i="1" a="1"/>
  <c r="H15" i="1" l="1"/>
  <c r="G15" i="1" a="1"/>
  <c r="G15" i="1" l="1"/>
  <c r="O15" i="1" s="1"/>
  <c r="F15" i="1" a="1"/>
  <c r="F15" i="1" l="1"/>
  <c r="N14" i="1" a="1"/>
  <c r="N14" i="1" l="1"/>
  <c r="M14" i="1" a="1"/>
  <c r="M14" i="1" l="1"/>
  <c r="L14" i="1" a="1"/>
  <c r="L14" i="1" l="1"/>
  <c r="K14" i="1" a="1"/>
  <c r="K14" i="1" l="1"/>
  <c r="J14" i="1" a="1"/>
  <c r="J14" i="1" l="1"/>
  <c r="I14" i="1" a="1"/>
  <c r="I14" i="1" l="1"/>
  <c r="H14" i="1" a="1"/>
  <c r="H14" i="1" l="1"/>
  <c r="G14" i="1" a="1"/>
  <c r="G14" i="1" l="1"/>
  <c r="O14" i="1" s="1"/>
  <c r="F14" i="1" a="1"/>
  <c r="F14" i="1" l="1"/>
  <c r="N13" i="1" a="1"/>
  <c r="N13" i="1" l="1"/>
  <c r="M13" i="1" a="1"/>
  <c r="M13" i="1" l="1"/>
  <c r="L13" i="1" a="1"/>
  <c r="L13" i="1" l="1"/>
  <c r="K13" i="1" a="1"/>
  <c r="K13" i="1" l="1"/>
  <c r="J13" i="1" a="1"/>
  <c r="J13" i="1" l="1"/>
  <c r="I13" i="1" a="1"/>
  <c r="I13" i="1" l="1"/>
  <c r="H13" i="1" a="1"/>
  <c r="H13" i="1" l="1"/>
  <c r="G13" i="1" a="1"/>
  <c r="G13" i="1" l="1"/>
  <c r="O13" i="1" s="1"/>
  <c r="F13" i="1" a="1"/>
  <c r="F13" i="1" l="1"/>
  <c r="N12" i="1" a="1"/>
  <c r="N12" i="1" l="1"/>
  <c r="M12" i="1" a="1"/>
  <c r="M12" i="1" l="1"/>
  <c r="L12" i="1" a="1"/>
  <c r="L12" i="1" l="1"/>
  <c r="K12" i="1" a="1"/>
  <c r="K12" i="1" l="1"/>
  <c r="J12" i="1" a="1"/>
  <c r="J12" i="1" l="1"/>
  <c r="I12" i="1" a="1"/>
  <c r="I12" i="1" l="1"/>
  <c r="H12" i="1" a="1"/>
  <c r="H12" i="1" l="1"/>
  <c r="G12" i="1" a="1"/>
  <c r="G12" i="1" l="1"/>
  <c r="O12" i="1" s="1"/>
  <c r="F12" i="1" a="1"/>
  <c r="F12" i="1" l="1"/>
  <c r="N11" i="1" a="1"/>
  <c r="N11" i="1" l="1"/>
  <c r="M11" i="1" a="1"/>
  <c r="M11" i="1" l="1"/>
  <c r="L11" i="1" a="1"/>
  <c r="L11" i="1" l="1"/>
  <c r="K11" i="1" a="1"/>
  <c r="K11" i="1" l="1"/>
  <c r="J11" i="1" a="1"/>
  <c r="J11" i="1" l="1"/>
  <c r="I11" i="1" a="1"/>
  <c r="I11" i="1" l="1"/>
  <c r="H11" i="1" a="1"/>
  <c r="H11" i="1" l="1"/>
  <c r="G11" i="1" a="1"/>
  <c r="G11" i="1" l="1"/>
  <c r="O11" i="1" s="1"/>
  <c r="F11" i="1" a="1"/>
  <c r="F11" i="1" l="1"/>
  <c r="N10" i="1" a="1"/>
  <c r="N10" i="1" l="1"/>
  <c r="M10" i="1" a="1"/>
  <c r="M10" i="1" l="1"/>
  <c r="L10" i="1" a="1"/>
  <c r="L10" i="1" l="1"/>
  <c r="K10" i="1" a="1"/>
  <c r="K10" i="1" l="1"/>
  <c r="J10" i="1" a="1"/>
  <c r="J10" i="1" l="1"/>
  <c r="I10" i="1" a="1"/>
  <c r="I10" i="1" l="1"/>
  <c r="H10" i="1" a="1"/>
  <c r="H10" i="1" l="1"/>
  <c r="G10" i="1" a="1"/>
  <c r="G10" i="1" l="1"/>
  <c r="O10" i="1" s="1"/>
  <c r="F10" i="1" a="1"/>
  <c r="F10" i="1" l="1"/>
  <c r="N9" i="1" a="1"/>
  <c r="N9" i="1" l="1"/>
  <c r="M9" i="1" a="1"/>
  <c r="M9" i="1" l="1"/>
  <c r="L9" i="1" a="1"/>
  <c r="L9" i="1" l="1"/>
  <c r="K9" i="1" a="1"/>
  <c r="K9" i="1" l="1"/>
  <c r="J9" i="1" a="1"/>
  <c r="J9" i="1" l="1"/>
  <c r="I9" i="1" a="1"/>
  <c r="I9" i="1" l="1"/>
  <c r="H9" i="1" a="1"/>
  <c r="H9" i="1" l="1"/>
  <c r="G9" i="1" a="1"/>
  <c r="G9" i="1" l="1"/>
  <c r="O9" i="1" s="1"/>
  <c r="F9" i="1" a="1"/>
  <c r="F9" i="1" l="1"/>
  <c r="N8" i="1" a="1"/>
  <c r="N8" i="1" l="1"/>
  <c r="M8" i="1" a="1"/>
  <c r="M8" i="1" l="1"/>
  <c r="L8" i="1" a="1"/>
  <c r="L8" i="1" l="1"/>
  <c r="K8" i="1" a="1"/>
  <c r="K8" i="1" l="1"/>
  <c r="J8" i="1" a="1"/>
  <c r="J8" i="1" l="1"/>
  <c r="I8" i="1" a="1"/>
  <c r="I8" i="1" l="1"/>
  <c r="H8" i="1" a="1"/>
  <c r="H8" i="1" l="1"/>
  <c r="G8" i="1" a="1"/>
  <c r="G8" i="1" l="1"/>
  <c r="O8" i="1" s="1"/>
  <c r="F8" i="1" a="1"/>
  <c r="F8" i="1" l="1"/>
  <c r="N7" i="1" a="1"/>
  <c r="N7" i="1" l="1"/>
  <c r="M7" i="1" a="1"/>
  <c r="M7" i="1" l="1"/>
  <c r="L7" i="1" a="1"/>
  <c r="L7" i="1" l="1"/>
  <c r="K7" i="1" a="1"/>
  <c r="K7" i="1" l="1"/>
  <c r="J7" i="1" a="1"/>
  <c r="J7" i="1" l="1"/>
  <c r="I7" i="1" a="1"/>
  <c r="I7" i="1" l="1"/>
  <c r="H7" i="1" a="1"/>
  <c r="H7" i="1" l="1"/>
  <c r="G7" i="1" a="1"/>
  <c r="G7" i="1" l="1"/>
  <c r="O7" i="1" s="1"/>
  <c r="F7" i="1" a="1"/>
  <c r="F7" i="1" l="1"/>
  <c r="N6" i="1" a="1"/>
  <c r="N6" i="1" l="1"/>
  <c r="M6" i="1" a="1"/>
  <c r="M6" i="1" l="1"/>
  <c r="L6" i="1" a="1"/>
  <c r="L6" i="1" l="1"/>
  <c r="K6" i="1" a="1"/>
  <c r="K6" i="1" l="1"/>
  <c r="J6" i="1" a="1"/>
  <c r="J6" i="1" l="1"/>
  <c r="I6" i="1" a="1"/>
  <c r="I6" i="1" l="1"/>
  <c r="H6" i="1" a="1"/>
  <c r="H6" i="1" l="1"/>
  <c r="G6" i="1" a="1"/>
  <c r="G6" i="1" l="1"/>
  <c r="O6" i="1" s="1"/>
  <c r="F6" i="1" a="1"/>
  <c r="F6" i="1" l="1"/>
  <c r="N5" i="1" a="1"/>
  <c r="N5" i="1" l="1"/>
  <c r="M5" i="1" a="1"/>
  <c r="M5" i="1" l="1"/>
  <c r="L5" i="1" a="1"/>
  <c r="L5" i="1" l="1"/>
  <c r="K5" i="1" a="1"/>
  <c r="K5" i="1" l="1"/>
  <c r="J5" i="1" a="1"/>
  <c r="J5" i="1" l="1"/>
  <c r="I5" i="1" a="1"/>
  <c r="I5" i="1" l="1"/>
  <c r="H5" i="1" a="1"/>
  <c r="H5" i="1" l="1"/>
  <c r="G5" i="1" a="1"/>
  <c r="G5" i="1" l="1"/>
  <c r="O5" i="1" s="1"/>
  <c r="F5" i="1" a="1"/>
  <c r="F5" i="1" l="1"/>
  <c r="N4" i="1" a="1"/>
  <c r="N4" i="1" l="1"/>
  <c r="M4" i="1" a="1"/>
  <c r="M4" i="1" l="1"/>
  <c r="L4" i="1" a="1"/>
  <c r="L4" i="1" l="1"/>
  <c r="K4" i="1" a="1"/>
  <c r="K4" i="1" l="1"/>
  <c r="J4" i="1" a="1"/>
  <c r="J4" i="1" l="1"/>
  <c r="I4" i="1" a="1"/>
  <c r="I4" i="1" l="1"/>
  <c r="H4" i="1" a="1"/>
  <c r="H4" i="1" l="1"/>
  <c r="G4" i="1" a="1"/>
  <c r="G4" i="1" l="1"/>
  <c r="O4" i="1" s="1"/>
  <c r="F4" i="1" a="1"/>
  <c r="F4" i="1" l="1"/>
  <c r="N3" i="1" a="1"/>
  <c r="N3" i="1" l="1"/>
  <c r="M3" i="1" a="1"/>
  <c r="M3" i="1" l="1"/>
  <c r="L3" i="1" a="1"/>
  <c r="L3" i="1" l="1"/>
  <c r="K3" i="1" a="1"/>
  <c r="K3" i="1" l="1"/>
  <c r="J3" i="1" a="1"/>
  <c r="J3" i="1" l="1"/>
  <c r="I3" i="1" a="1"/>
  <c r="I3" i="1" l="1"/>
  <c r="H3" i="1" a="1"/>
  <c r="H3" i="1" l="1"/>
  <c r="G3" i="1" a="1"/>
  <c r="G3" i="1" l="1"/>
  <c r="O3" i="1" s="1"/>
  <c r="F3" i="1" a="1"/>
  <c r="F3" i="1" l="1"/>
  <c r="F2" i="1" a="1"/>
  <c r="G2" i="1" a="1"/>
  <c r="H2" i="1" a="1"/>
  <c r="I2" i="1" a="1"/>
  <c r="J2" i="1" a="1"/>
  <c r="K2" i="1" a="1"/>
  <c r="L2" i="1" a="1"/>
  <c r="M2" i="1" a="1"/>
  <c r="N2" i="1" a="1"/>
  <c r="N2" i="1" l="1"/>
  <c r="U2" i="1" s="1" a="1"/>
  <c r="U2" i="1" s="1"/>
  <c r="V2" i="1" s="1" a="1"/>
  <c r="V2" i="1" s="1"/>
  <c r="M2" i="1"/>
  <c r="L2" i="1"/>
  <c r="K2" i="1"/>
  <c r="J2" i="1"/>
  <c r="I2" i="1"/>
  <c r="H2" i="1"/>
  <c r="B5" i="2" s="1" a="1"/>
  <c r="B5" i="2" s="1"/>
  <c r="C5" i="2" s="1" a="1"/>
  <c r="C5" i="2" s="1"/>
  <c r="D5" i="2" s="1" a="1"/>
  <c r="D5" i="2" s="1"/>
  <c r="F5" i="2" s="1" a="1"/>
  <c r="F5" i="2" s="1"/>
  <c r="G5" i="2" s="1" a="1"/>
  <c r="G5" i="2" s="1"/>
  <c r="I5" i="2" s="1" a="1"/>
  <c r="I5" i="2" s="1"/>
  <c r="G2" i="1"/>
  <c r="O2" i="1" s="1"/>
  <c r="A6" i="7" s="1" a="1"/>
  <c r="A6" i="7" s="1"/>
  <c r="F2" i="1"/>
  <c r="S39" i="3"/>
  <c r="R39" i="3" a="1"/>
  <c r="J5" i="2" l="1" a="1"/>
  <c r="J5" i="2" s="1"/>
  <c r="B2" i="6" s="1" a="1"/>
  <c r="B2" i="6" s="1"/>
  <c r="A2" i="6" a="1"/>
  <c r="A2" i="6" s="1"/>
  <c r="D6" i="7" a="1"/>
  <c r="D6" i="7" s="1"/>
  <c r="B6" i="7" a="1"/>
  <c r="B6" i="7" s="1"/>
  <c r="C6" i="7" s="1" a="1"/>
  <c r="C6" i="7" s="1"/>
  <c r="Q2" i="1" a="1"/>
  <c r="Q2" i="1" s="1"/>
  <c r="R2" i="1" a="1"/>
  <c r="R2" i="1" s="1"/>
  <c r="F6" i="7" a="1"/>
  <c r="E6" i="7" a="1"/>
  <c r="Q39" i="3" a="1"/>
  <c r="R39" i="3"/>
  <c r="E6" i="7" l="1"/>
  <c r="F6" i="7"/>
  <c r="S2" i="1" a="1"/>
  <c r="S2" i="1" s="1"/>
  <c r="T2" i="1" s="1" a="1"/>
  <c r="T2" i="1" s="1"/>
  <c r="P39" i="3" a="1"/>
  <c r="K39" i="3" a="1"/>
  <c r="O39" i="3" a="1"/>
  <c r="L39" i="3" a="1"/>
  <c r="H39" i="3" a="1"/>
  <c r="O39" i="3"/>
  <c r="L39" i="3"/>
  <c r="P39" i="3"/>
  <c r="Q39" i="3"/>
  <c r="K39" i="3"/>
  <c r="M39" i="3" l="1"/>
  <c r="G39" i="3" a="1"/>
  <c r="F39" i="3" a="1"/>
  <c r="G39" i="3"/>
  <c r="H39" i="3"/>
  <c r="I39" i="3" l="1"/>
  <c r="N39" i="3" s="1"/>
  <c r="E39" i="3" a="1"/>
  <c r="F39" i="3"/>
  <c r="S38" i="3" l="1"/>
  <c r="Q38" i="3" a="1"/>
  <c r="P38" i="3" a="1"/>
  <c r="K38" i="3" a="1"/>
  <c r="O38" i="3" a="1"/>
  <c r="H38" i="3" a="1"/>
  <c r="R38" i="3" a="1"/>
  <c r="L38" i="3" a="1"/>
  <c r="P38" i="3"/>
  <c r="K38" i="3"/>
  <c r="E39" i="3"/>
  <c r="R38" i="3"/>
  <c r="L38" i="3"/>
  <c r="Q38" i="3"/>
  <c r="O38" i="3"/>
  <c r="M38" i="3" l="1"/>
  <c r="G38" i="3" a="1"/>
  <c r="F38" i="3" a="1"/>
  <c r="H38" i="3"/>
  <c r="G38" i="3"/>
  <c r="I38" i="3" l="1"/>
  <c r="N38" i="3" s="1"/>
  <c r="E38" i="3" a="1"/>
  <c r="F38" i="3"/>
  <c r="S37" i="3" l="1"/>
  <c r="Q37" i="3" a="1"/>
  <c r="O37" i="3" a="1"/>
  <c r="L37" i="3" a="1"/>
  <c r="K37" i="3" a="1"/>
  <c r="P37" i="3" a="1"/>
  <c r="R37" i="3" a="1"/>
  <c r="H37" i="3" a="1"/>
  <c r="P37" i="3"/>
  <c r="O37" i="3"/>
  <c r="E38" i="3"/>
  <c r="Q37" i="3"/>
  <c r="R37" i="3"/>
  <c r="K37" i="3"/>
  <c r="L37" i="3"/>
  <c r="M37" i="3" l="1"/>
  <c r="G37" i="3" a="1"/>
  <c r="F37" i="3" a="1"/>
  <c r="G37" i="3"/>
  <c r="H37" i="3"/>
  <c r="I37" i="3" l="1"/>
  <c r="N37" i="3" s="1"/>
  <c r="E37" i="3" a="1"/>
  <c r="F37" i="3"/>
  <c r="S36" i="3" l="1"/>
  <c r="O36" i="3" a="1"/>
  <c r="R36" i="3" a="1"/>
  <c r="Q36" i="3" a="1"/>
  <c r="L36" i="3" a="1"/>
  <c r="P36" i="3" a="1"/>
  <c r="H36" i="3" a="1"/>
  <c r="K36" i="3" a="1"/>
  <c r="P36" i="3"/>
  <c r="K36" i="3"/>
  <c r="Q36" i="3"/>
  <c r="O36" i="3"/>
  <c r="E37" i="3"/>
  <c r="R36" i="3"/>
  <c r="L36" i="3"/>
  <c r="M36" i="3" l="1"/>
  <c r="F36" i="3" a="1"/>
  <c r="G36" i="3" a="1"/>
  <c r="G36" i="3"/>
  <c r="H36" i="3"/>
  <c r="I36" i="3" l="1"/>
  <c r="N36" i="3" s="1"/>
  <c r="E36" i="3" a="1"/>
  <c r="F36" i="3"/>
  <c r="S35" i="3" l="1"/>
  <c r="H35" i="3" a="1"/>
  <c r="K35" i="3" a="1"/>
  <c r="Q35" i="3" a="1"/>
  <c r="R35" i="3" a="1"/>
  <c r="L35" i="3" a="1"/>
  <c r="O35" i="3" a="1"/>
  <c r="P35" i="3" a="1"/>
  <c r="P35" i="3"/>
  <c r="E36" i="3"/>
  <c r="O35" i="3"/>
  <c r="K35" i="3"/>
  <c r="L35" i="3"/>
  <c r="R35" i="3"/>
  <c r="Q35" i="3"/>
  <c r="M35" i="3" l="1"/>
  <c r="G35" i="3" a="1"/>
  <c r="F35" i="3" a="1"/>
  <c r="H35" i="3"/>
  <c r="G35" i="3"/>
  <c r="I35" i="3" l="1"/>
  <c r="N35" i="3" s="1"/>
  <c r="E35" i="3" a="1"/>
  <c r="F35" i="3"/>
  <c r="S34" i="3" l="1"/>
  <c r="K34" i="3" a="1"/>
  <c r="Q34" i="3" a="1"/>
  <c r="O34" i="3" a="1"/>
  <c r="P34" i="3" a="1"/>
  <c r="R34" i="3" a="1"/>
  <c r="H34" i="3" a="1"/>
  <c r="L34" i="3" a="1"/>
  <c r="P34" i="3"/>
  <c r="O34" i="3"/>
  <c r="Q34" i="3"/>
  <c r="E35" i="3"/>
  <c r="L34" i="3"/>
  <c r="R34" i="3"/>
  <c r="K34" i="3"/>
  <c r="M34" i="3" l="1"/>
  <c r="F34" i="3" a="1"/>
  <c r="G34" i="3" a="1"/>
  <c r="G34" i="3"/>
  <c r="H34" i="3"/>
  <c r="I34" i="3" l="1"/>
  <c r="N34" i="3" s="1"/>
  <c r="E34" i="3" a="1"/>
  <c r="F34" i="3"/>
  <c r="S33" i="3" l="1"/>
  <c r="P33" i="3" a="1"/>
  <c r="H33" i="3" a="1"/>
  <c r="O33" i="3" a="1"/>
  <c r="Q33" i="3" a="1"/>
  <c r="K33" i="3" a="1"/>
  <c r="R33" i="3" a="1"/>
  <c r="L33" i="3" a="1"/>
  <c r="P33" i="3"/>
  <c r="R33" i="3"/>
  <c r="K33" i="3"/>
  <c r="E34" i="3"/>
  <c r="L33" i="3"/>
  <c r="Q33" i="3"/>
  <c r="O33" i="3"/>
  <c r="M33" i="3" l="1"/>
  <c r="F33" i="3" a="1"/>
  <c r="G33" i="3" a="1"/>
  <c r="H33" i="3"/>
  <c r="G33" i="3"/>
  <c r="I33" i="3" l="1"/>
  <c r="N33" i="3" s="1"/>
  <c r="E33" i="3" a="1"/>
  <c r="F33" i="3"/>
  <c r="S32" i="3" l="1"/>
  <c r="Q32" i="3" a="1"/>
  <c r="O32" i="3" a="1"/>
  <c r="K32" i="3" a="1"/>
  <c r="R32" i="3" a="1"/>
  <c r="H32" i="3" a="1"/>
  <c r="P32" i="3" a="1"/>
  <c r="L32" i="3" a="1"/>
  <c r="P32" i="3"/>
  <c r="Q32" i="3"/>
  <c r="O32" i="3"/>
  <c r="K32" i="3"/>
  <c r="E33" i="3"/>
  <c r="L32" i="3"/>
  <c r="R32" i="3"/>
  <c r="M32" i="3" l="1"/>
  <c r="F32" i="3" a="1"/>
  <c r="G32" i="3" a="1"/>
  <c r="G32" i="3"/>
  <c r="H32" i="3"/>
  <c r="I32" i="3" l="1"/>
  <c r="N32" i="3" s="1"/>
  <c r="E32" i="3" a="1"/>
  <c r="F32" i="3"/>
  <c r="S31" i="3" l="1"/>
  <c r="R31" i="3" a="1"/>
  <c r="Q31" i="3" a="1"/>
  <c r="K31" i="3" a="1"/>
  <c r="H31" i="3" a="1"/>
  <c r="O31" i="3" a="1"/>
  <c r="P31" i="3" a="1"/>
  <c r="L31" i="3" a="1"/>
  <c r="P31" i="3"/>
  <c r="L31" i="3"/>
  <c r="R31" i="3"/>
  <c r="O31" i="3"/>
  <c r="E32" i="3"/>
  <c r="K31" i="3"/>
  <c r="Q31" i="3"/>
  <c r="M31" i="3" l="1"/>
  <c r="F31" i="3" a="1"/>
  <c r="G31" i="3" a="1"/>
  <c r="H31" i="3"/>
  <c r="G31" i="3"/>
  <c r="I31" i="3" l="1"/>
  <c r="N31" i="3" s="1"/>
  <c r="E31" i="3" a="1"/>
  <c r="F31" i="3"/>
  <c r="S30" i="3" l="1"/>
  <c r="K30" i="3" a="1"/>
  <c r="R30" i="3" a="1"/>
  <c r="O30" i="3" a="1"/>
  <c r="P30" i="3" a="1"/>
  <c r="Q30" i="3" a="1"/>
  <c r="H30" i="3" a="1"/>
  <c r="L30" i="3" a="1"/>
  <c r="P30" i="3"/>
  <c r="R30" i="3"/>
  <c r="E31" i="3"/>
  <c r="L30" i="3"/>
  <c r="Q30" i="3"/>
  <c r="K30" i="3"/>
  <c r="O30" i="3"/>
  <c r="M30" i="3" l="1"/>
  <c r="F30" i="3" a="1"/>
  <c r="G30" i="3" a="1"/>
  <c r="G30" i="3"/>
  <c r="H30" i="3"/>
  <c r="I30" i="3" l="1"/>
  <c r="N30" i="3" s="1"/>
  <c r="E30" i="3" a="1"/>
  <c r="F30" i="3"/>
  <c r="S29" i="3" l="1"/>
  <c r="O29" i="3" a="1"/>
  <c r="H29" i="3" a="1"/>
  <c r="Q29" i="3" a="1"/>
  <c r="K29" i="3" a="1"/>
  <c r="P29" i="3" a="1"/>
  <c r="R29" i="3" a="1"/>
  <c r="L29" i="3" a="1"/>
  <c r="P29" i="3"/>
  <c r="Q29" i="3"/>
  <c r="O29" i="3"/>
  <c r="R29" i="3"/>
  <c r="E30" i="3"/>
  <c r="L29" i="3"/>
  <c r="K29" i="3"/>
  <c r="M29" i="3" l="1"/>
  <c r="F29" i="3" a="1"/>
  <c r="G29" i="3" a="1"/>
  <c r="H29" i="3"/>
  <c r="G29" i="3"/>
  <c r="I29" i="3" l="1"/>
  <c r="N29" i="3" s="1"/>
  <c r="E29" i="3" a="1"/>
  <c r="F29" i="3"/>
  <c r="S28" i="3" l="1"/>
  <c r="Q28" i="3" a="1"/>
  <c r="K28" i="3" a="1"/>
  <c r="O28" i="3" a="1"/>
  <c r="H28" i="3" a="1"/>
  <c r="L28" i="3" a="1"/>
  <c r="R28" i="3" a="1"/>
  <c r="P28" i="3" a="1"/>
  <c r="P28" i="3"/>
  <c r="R28" i="3"/>
  <c r="E29" i="3"/>
  <c r="K28" i="3"/>
  <c r="Q28" i="3"/>
  <c r="L28" i="3"/>
  <c r="O28" i="3"/>
  <c r="M28" i="3" l="1"/>
  <c r="F28" i="3" a="1"/>
  <c r="G28" i="3" a="1"/>
  <c r="G28" i="3"/>
  <c r="H28" i="3"/>
  <c r="I28" i="3" l="1"/>
  <c r="N28" i="3" s="1"/>
  <c r="E28" i="3" a="1"/>
  <c r="F28" i="3"/>
  <c r="S27" i="3" l="1"/>
  <c r="P27" i="3" a="1"/>
  <c r="K27" i="3" a="1"/>
  <c r="Q27" i="3" a="1"/>
  <c r="R27" i="3" a="1"/>
  <c r="L27" i="3" a="1"/>
  <c r="O27" i="3" a="1"/>
  <c r="H27" i="3" a="1"/>
  <c r="P27" i="3"/>
  <c r="Q27" i="3"/>
  <c r="K27" i="3"/>
  <c r="L27" i="3"/>
  <c r="E28" i="3"/>
  <c r="R27" i="3"/>
  <c r="O27" i="3"/>
  <c r="M27" i="3" l="1"/>
  <c r="F27" i="3" a="1"/>
  <c r="G27" i="3" a="1"/>
  <c r="H27" i="3"/>
  <c r="G27" i="3"/>
  <c r="I27" i="3" l="1"/>
  <c r="N27" i="3" s="1"/>
  <c r="E27" i="3" a="1"/>
  <c r="F27" i="3"/>
  <c r="S26" i="3" l="1"/>
  <c r="O26" i="3" a="1"/>
  <c r="R26" i="3" a="1"/>
  <c r="P26" i="3" a="1"/>
  <c r="H26" i="3" a="1"/>
  <c r="Q26" i="3" a="1"/>
  <c r="L26" i="3" a="1"/>
  <c r="K26" i="3" a="1"/>
  <c r="P26" i="3"/>
  <c r="Q26" i="3"/>
  <c r="E27" i="3"/>
  <c r="K26" i="3"/>
  <c r="O26" i="3"/>
  <c r="R26" i="3"/>
  <c r="L26" i="3"/>
  <c r="M26" i="3" l="1"/>
  <c r="F26" i="3" a="1"/>
  <c r="G26" i="3" a="1"/>
  <c r="G26" i="3"/>
  <c r="H26" i="3"/>
  <c r="I26" i="3" l="1"/>
  <c r="N26" i="3" s="1"/>
  <c r="E26" i="3" a="1"/>
  <c r="F26" i="3"/>
  <c r="S25" i="3" l="1"/>
  <c r="R25" i="3" a="1"/>
  <c r="P25" i="3" a="1"/>
  <c r="L25" i="3" a="1"/>
  <c r="H25" i="3" a="1"/>
  <c r="Q25" i="3" a="1"/>
  <c r="O25" i="3" a="1"/>
  <c r="K25" i="3" a="1"/>
  <c r="P25" i="3"/>
  <c r="O25" i="3"/>
  <c r="E26" i="3"/>
  <c r="R25" i="3"/>
  <c r="Q25" i="3"/>
  <c r="L25" i="3"/>
  <c r="K25" i="3"/>
  <c r="M25" i="3" l="1"/>
  <c r="F25" i="3" a="1"/>
  <c r="G25" i="3" a="1"/>
  <c r="H25" i="3"/>
  <c r="G25" i="3"/>
  <c r="I25" i="3" l="1"/>
  <c r="N25" i="3" s="1"/>
  <c r="E25" i="3" a="1"/>
  <c r="F25" i="3"/>
  <c r="S24" i="3" l="1"/>
  <c r="H24" i="3" a="1"/>
  <c r="Q24" i="3" a="1"/>
  <c r="P24" i="3" a="1"/>
  <c r="O24" i="3" a="1"/>
  <c r="K24" i="3" a="1"/>
  <c r="L24" i="3" a="1"/>
  <c r="R24" i="3" a="1"/>
  <c r="P24" i="3"/>
  <c r="K24" i="3"/>
  <c r="E25" i="3"/>
  <c r="O24" i="3"/>
  <c r="R24" i="3"/>
  <c r="Q24" i="3"/>
  <c r="L24" i="3"/>
  <c r="M24" i="3" l="1"/>
  <c r="G24" i="3" a="1"/>
  <c r="F24" i="3" a="1"/>
  <c r="H24" i="3"/>
  <c r="G24" i="3"/>
  <c r="I24" i="3" l="1"/>
  <c r="N24" i="3" s="1"/>
  <c r="E24" i="3" a="1"/>
  <c r="F24" i="3"/>
  <c r="S23" i="3" l="1"/>
  <c r="R23" i="3" a="1"/>
  <c r="K23" i="3" a="1"/>
  <c r="H23" i="3" a="1"/>
  <c r="P23" i="3" a="1"/>
  <c r="Q23" i="3" a="1"/>
  <c r="O23" i="3" a="1"/>
  <c r="L23" i="3" a="1"/>
  <c r="P23" i="3"/>
  <c r="O23" i="3"/>
  <c r="Q23" i="3"/>
  <c r="E24" i="3"/>
  <c r="L23" i="3"/>
  <c r="K23" i="3"/>
  <c r="R23" i="3"/>
  <c r="M23" i="3" l="1"/>
  <c r="F23" i="3" a="1"/>
  <c r="G23" i="3" a="1"/>
  <c r="H23" i="3"/>
  <c r="G23" i="3"/>
  <c r="I23" i="3" l="1"/>
  <c r="N23" i="3" s="1"/>
  <c r="E23" i="3" a="1"/>
  <c r="F23" i="3"/>
  <c r="S22" i="3" l="1"/>
  <c r="O22" i="3" a="1"/>
  <c r="R22" i="3" a="1"/>
  <c r="H22" i="3" a="1"/>
  <c r="L22" i="3" a="1"/>
  <c r="K22" i="3" a="1"/>
  <c r="Q22" i="3" a="1"/>
  <c r="P22" i="3" a="1"/>
  <c r="P22" i="3"/>
  <c r="O22" i="3"/>
  <c r="K22" i="3"/>
  <c r="E23" i="3"/>
  <c r="R22" i="3"/>
  <c r="Q22" i="3"/>
  <c r="L22" i="3"/>
  <c r="M22" i="3" l="1"/>
  <c r="G22" i="3" a="1"/>
  <c r="F22" i="3" a="1"/>
  <c r="G22" i="3"/>
  <c r="H22" i="3"/>
  <c r="I22" i="3" l="1"/>
  <c r="N22" i="3" s="1"/>
  <c r="E22" i="3" a="1"/>
  <c r="F22" i="3"/>
  <c r="S21" i="3" l="1"/>
  <c r="Q21" i="3" a="1"/>
  <c r="P21" i="3" a="1"/>
  <c r="K21" i="3" a="1"/>
  <c r="L21" i="3" a="1"/>
  <c r="H21" i="3" a="1"/>
  <c r="R21" i="3" a="1"/>
  <c r="O21" i="3" a="1"/>
  <c r="P21" i="3"/>
  <c r="K21" i="3"/>
  <c r="O21" i="3"/>
  <c r="E22" i="3"/>
  <c r="R21" i="3"/>
  <c r="Q21" i="3"/>
  <c r="L21" i="3"/>
  <c r="M21" i="3" l="1"/>
  <c r="F21" i="3" a="1"/>
  <c r="G21" i="3" a="1"/>
  <c r="G21" i="3"/>
  <c r="H21" i="3"/>
  <c r="I21" i="3" l="1"/>
  <c r="N21" i="3" s="1"/>
  <c r="E21" i="3" a="1"/>
  <c r="F21" i="3"/>
  <c r="S20" i="3" l="1"/>
  <c r="O20" i="3" a="1"/>
  <c r="K20" i="3" a="1"/>
  <c r="P20" i="3" a="1"/>
  <c r="Q20" i="3" a="1"/>
  <c r="L20" i="3" a="1"/>
  <c r="R20" i="3" a="1"/>
  <c r="H20" i="3" a="1"/>
  <c r="P20" i="3"/>
  <c r="K20" i="3"/>
  <c r="L20" i="3"/>
  <c r="E21" i="3"/>
  <c r="R20" i="3"/>
  <c r="Q20" i="3"/>
  <c r="O20" i="3"/>
  <c r="M20" i="3" l="1"/>
  <c r="F20" i="3" a="1"/>
  <c r="G20" i="3" a="1"/>
  <c r="H20" i="3"/>
  <c r="G20" i="3"/>
  <c r="I20" i="3" l="1"/>
  <c r="N20" i="3" s="1"/>
  <c r="E20" i="3" a="1"/>
  <c r="F20" i="3"/>
  <c r="S19" i="3" l="1"/>
  <c r="R19" i="3" a="1"/>
  <c r="L19" i="3" a="1"/>
  <c r="H19" i="3" a="1"/>
  <c r="Q19" i="3" a="1"/>
  <c r="O19" i="3" a="1"/>
  <c r="P19" i="3" a="1"/>
  <c r="K19" i="3" a="1"/>
  <c r="P19" i="3"/>
  <c r="L19" i="3"/>
  <c r="O19" i="3"/>
  <c r="Q19" i="3"/>
  <c r="R19" i="3"/>
  <c r="E20" i="3"/>
  <c r="K19" i="3"/>
  <c r="M19" i="3" l="1"/>
  <c r="G19" i="3" a="1"/>
  <c r="F19" i="3" a="1"/>
  <c r="H19" i="3"/>
  <c r="G19" i="3"/>
  <c r="I19" i="3" l="1"/>
  <c r="N19" i="3" s="1"/>
  <c r="E19" i="3" a="1"/>
  <c r="F19" i="3"/>
  <c r="S18" i="3" l="1"/>
  <c r="Q18" i="3" a="1"/>
  <c r="O18" i="3" a="1"/>
  <c r="L18" i="3" a="1"/>
  <c r="K18" i="3" a="1"/>
  <c r="P18" i="3" a="1"/>
  <c r="R18" i="3" a="1"/>
  <c r="H18" i="3" a="1"/>
  <c r="P18" i="3"/>
  <c r="E19" i="3"/>
  <c r="L18" i="3"/>
  <c r="O18" i="3"/>
  <c r="R18" i="3"/>
  <c r="Q18" i="3"/>
  <c r="K18" i="3"/>
  <c r="M18" i="3" l="1"/>
  <c r="G18" i="3" a="1"/>
  <c r="F18" i="3" a="1"/>
  <c r="G18" i="3"/>
  <c r="H18" i="3"/>
  <c r="I18" i="3" l="1"/>
  <c r="N18" i="3" s="1"/>
  <c r="E18" i="3" a="1"/>
  <c r="F18" i="3"/>
  <c r="S17" i="3" l="1"/>
  <c r="K17" i="3" a="1"/>
  <c r="O17" i="3" a="1"/>
  <c r="R17" i="3" a="1"/>
  <c r="L17" i="3" a="1"/>
  <c r="Q17" i="3" a="1"/>
  <c r="H17" i="3" a="1"/>
  <c r="P17" i="3" a="1"/>
  <c r="P17" i="3"/>
  <c r="O17" i="3"/>
  <c r="L17" i="3"/>
  <c r="K17" i="3"/>
  <c r="E18" i="3"/>
  <c r="Q17" i="3"/>
  <c r="R17" i="3"/>
  <c r="M17" i="3" l="1"/>
  <c r="F17" i="3" a="1"/>
  <c r="G17" i="3" a="1"/>
  <c r="H17" i="3"/>
  <c r="G17" i="3"/>
  <c r="I17" i="3" l="1"/>
  <c r="N17" i="3" s="1"/>
  <c r="E17" i="3" a="1"/>
  <c r="F17" i="3"/>
  <c r="S16" i="3" l="1"/>
  <c r="Q16" i="3" a="1"/>
  <c r="P16" i="3" a="1"/>
  <c r="K16" i="3" a="1"/>
  <c r="O16" i="3" a="1"/>
  <c r="R16" i="3" a="1"/>
  <c r="H16" i="3" a="1"/>
  <c r="L16" i="3" a="1"/>
  <c r="P16" i="3"/>
  <c r="O16" i="3"/>
  <c r="Q16" i="3"/>
  <c r="E17" i="3"/>
  <c r="K16" i="3"/>
  <c r="R16" i="3"/>
  <c r="L16" i="3"/>
  <c r="M16" i="3" l="1"/>
  <c r="F16" i="3" a="1"/>
  <c r="G16" i="3" a="1"/>
  <c r="G16" i="3"/>
  <c r="H16" i="3"/>
  <c r="I16" i="3" l="1"/>
  <c r="N16" i="3" s="1"/>
  <c r="E16" i="3" a="1"/>
  <c r="F16" i="3"/>
  <c r="S15" i="3" l="1"/>
  <c r="R15" i="3" a="1"/>
  <c r="H15" i="3" a="1"/>
  <c r="O15" i="3" a="1"/>
  <c r="P15" i="3" a="1"/>
  <c r="Q15" i="3" a="1"/>
  <c r="K15" i="3" a="1"/>
  <c r="L15" i="3" a="1"/>
  <c r="P15" i="3"/>
  <c r="K15" i="3"/>
  <c r="O15" i="3"/>
  <c r="R15" i="3"/>
  <c r="Q15" i="3"/>
  <c r="E16" i="3"/>
  <c r="L15" i="3"/>
  <c r="M15" i="3" l="1"/>
  <c r="F15" i="3" a="1"/>
  <c r="G15" i="3" a="1"/>
  <c r="H15" i="3"/>
  <c r="G15" i="3"/>
  <c r="I15" i="3" l="1"/>
  <c r="N15" i="3" s="1"/>
  <c r="E15" i="3" a="1"/>
  <c r="F15" i="3"/>
  <c r="S14" i="3" l="1"/>
  <c r="L14" i="3" a="1"/>
  <c r="K14" i="3" a="1"/>
  <c r="O14" i="3" a="1"/>
  <c r="Q14" i="3" a="1"/>
  <c r="R14" i="3" a="1"/>
  <c r="P14" i="3" a="1"/>
  <c r="H14" i="3" a="1"/>
  <c r="P14" i="3"/>
  <c r="O14" i="3"/>
  <c r="R14" i="3"/>
  <c r="E15" i="3"/>
  <c r="K14" i="3"/>
  <c r="L14" i="3"/>
  <c r="Q14" i="3"/>
  <c r="M14" i="3" l="1"/>
  <c r="G14" i="3" a="1"/>
  <c r="F14" i="3" a="1"/>
  <c r="H14" i="3"/>
  <c r="G14" i="3"/>
  <c r="I14" i="3" l="1"/>
  <c r="N14" i="3" s="1"/>
  <c r="E14" i="3" a="1"/>
  <c r="F14" i="3"/>
  <c r="S13" i="3" l="1"/>
  <c r="R13" i="3" a="1"/>
  <c r="P13" i="3" a="1"/>
  <c r="K13" i="3" a="1"/>
  <c r="L13" i="3" a="1"/>
  <c r="Q13" i="3" a="1"/>
  <c r="O13" i="3" a="1"/>
  <c r="H13" i="3" a="1"/>
  <c r="P13" i="3"/>
  <c r="L13" i="3"/>
  <c r="R13" i="3"/>
  <c r="K13" i="3"/>
  <c r="Q13" i="3"/>
  <c r="E14" i="3"/>
  <c r="O13" i="3"/>
  <c r="M13" i="3" l="1"/>
  <c r="G13" i="3" a="1"/>
  <c r="F13" i="3" a="1"/>
  <c r="H13" i="3"/>
  <c r="G13" i="3"/>
  <c r="I13" i="3" l="1"/>
  <c r="N13" i="3" s="1"/>
  <c r="E13" i="3" a="1"/>
  <c r="F13" i="3"/>
  <c r="S12" i="3" l="1"/>
  <c r="L12" i="3" a="1"/>
  <c r="H12" i="3" a="1"/>
  <c r="Q12" i="3" a="1"/>
  <c r="K12" i="3" a="1"/>
  <c r="O12" i="3" a="1"/>
  <c r="P12" i="3" a="1"/>
  <c r="R12" i="3" a="1"/>
  <c r="P12" i="3"/>
  <c r="L12" i="3"/>
  <c r="R12" i="3"/>
  <c r="E13" i="3"/>
  <c r="K12" i="3"/>
  <c r="O12" i="3"/>
  <c r="Q12" i="3"/>
  <c r="M12" i="3" l="1"/>
  <c r="F12" i="3" a="1"/>
  <c r="G12" i="3" a="1"/>
  <c r="H12" i="3"/>
  <c r="G12" i="3"/>
  <c r="I12" i="3" l="1"/>
  <c r="N12" i="3" s="1"/>
  <c r="E12" i="3" a="1"/>
  <c r="F12" i="3"/>
  <c r="S11" i="3" l="1"/>
  <c r="H11" i="3" a="1"/>
  <c r="P11" i="3" a="1"/>
  <c r="O11" i="3" a="1"/>
  <c r="L11" i="3" a="1"/>
  <c r="Q11" i="3" a="1"/>
  <c r="K11" i="3" a="1"/>
  <c r="R11" i="3" a="1"/>
  <c r="P11" i="3"/>
  <c r="E12" i="3"/>
  <c r="Q11" i="3"/>
  <c r="R11" i="3"/>
  <c r="O11" i="3"/>
  <c r="L11" i="3"/>
  <c r="K11" i="3"/>
  <c r="M11" i="3" l="1"/>
  <c r="F11" i="3" a="1"/>
  <c r="G11" i="3" a="1"/>
  <c r="H11" i="3"/>
  <c r="G11" i="3"/>
  <c r="I11" i="3" l="1"/>
  <c r="N11" i="3" s="1"/>
  <c r="E11" i="3" a="1"/>
  <c r="F11" i="3"/>
  <c r="S10" i="3" l="1"/>
  <c r="R10" i="3" a="1"/>
  <c r="Q10" i="3" a="1"/>
  <c r="K10" i="3" a="1"/>
  <c r="P10" i="3" a="1"/>
  <c r="H10" i="3" a="1"/>
  <c r="O10" i="3" a="1"/>
  <c r="L10" i="3" a="1"/>
  <c r="P10" i="3"/>
  <c r="L10" i="3"/>
  <c r="E11" i="3"/>
  <c r="R10" i="3"/>
  <c r="O10" i="3"/>
  <c r="K10" i="3"/>
  <c r="Q10" i="3"/>
  <c r="M10" i="3" l="1"/>
  <c r="F10" i="3" a="1"/>
  <c r="G10" i="3" a="1"/>
  <c r="G10" i="3"/>
  <c r="H10" i="3"/>
  <c r="I10" i="3" l="1"/>
  <c r="N10" i="3" s="1"/>
  <c r="E10" i="3" a="1"/>
  <c r="F10" i="3"/>
  <c r="S9" i="3" l="1"/>
  <c r="Q9" i="3" a="1"/>
  <c r="O9" i="3" a="1"/>
  <c r="K9" i="3" a="1"/>
  <c r="P9" i="3" a="1"/>
  <c r="R9" i="3" a="1"/>
  <c r="H9" i="3" a="1"/>
  <c r="L9" i="3" a="1"/>
  <c r="P9" i="3"/>
  <c r="R9" i="3"/>
  <c r="L9" i="3"/>
  <c r="K9" i="3"/>
  <c r="O9" i="3"/>
  <c r="Q9" i="3"/>
  <c r="E10" i="3"/>
  <c r="M9" i="3" l="1"/>
  <c r="F9" i="3" a="1"/>
  <c r="G9" i="3" a="1"/>
  <c r="H9" i="3"/>
  <c r="G9" i="3"/>
  <c r="I9" i="3" l="1"/>
  <c r="N9" i="3" s="1"/>
  <c r="E9" i="3" a="1"/>
  <c r="F9" i="3"/>
  <c r="S8" i="3" l="1"/>
  <c r="O8" i="3" a="1"/>
  <c r="Q8" i="3" a="1"/>
  <c r="H8" i="3" a="1"/>
  <c r="L8" i="3" a="1"/>
  <c r="P8" i="3" a="1"/>
  <c r="K8" i="3" a="1"/>
  <c r="R8" i="3" a="1"/>
  <c r="P8" i="3"/>
  <c r="L8" i="3"/>
  <c r="K8" i="3"/>
  <c r="O8" i="3"/>
  <c r="R8" i="3"/>
  <c r="E9" i="3"/>
  <c r="Q8" i="3"/>
  <c r="M8" i="3" l="1"/>
  <c r="G8" i="3" a="1"/>
  <c r="F8" i="3" a="1"/>
  <c r="H8" i="3"/>
  <c r="G8" i="3"/>
  <c r="I8" i="3" l="1"/>
  <c r="N8" i="3" s="1"/>
  <c r="E8" i="3" a="1"/>
  <c r="F8" i="3"/>
  <c r="S7" i="3" l="1"/>
  <c r="O7" i="3" a="1"/>
  <c r="L7" i="3" a="1"/>
  <c r="Q7" i="3" a="1"/>
  <c r="H7" i="3" a="1"/>
  <c r="P7" i="3" a="1"/>
  <c r="K7" i="3" a="1"/>
  <c r="R7" i="3" a="1"/>
  <c r="P7" i="3"/>
  <c r="E8" i="3"/>
  <c r="R7" i="3"/>
  <c r="L7" i="3"/>
  <c r="Q7" i="3"/>
  <c r="K7" i="3"/>
  <c r="O7" i="3"/>
  <c r="M7" i="3" l="1"/>
  <c r="G7" i="3" a="1"/>
  <c r="F7" i="3" a="1"/>
  <c r="H7" i="3"/>
  <c r="G7" i="3"/>
  <c r="I7" i="3" l="1"/>
  <c r="N7" i="3" s="1"/>
  <c r="E7" i="3" a="1"/>
  <c r="F7" i="3"/>
  <c r="S6" i="3" l="1"/>
  <c r="L6" i="3" a="1"/>
  <c r="P6" i="3" a="1"/>
  <c r="H6" i="3" a="1"/>
  <c r="K6" i="3" a="1"/>
  <c r="Q6" i="3" a="1"/>
  <c r="R6" i="3" a="1"/>
  <c r="O6" i="3" a="1"/>
  <c r="P6" i="3"/>
  <c r="K6" i="3"/>
  <c r="O6" i="3"/>
  <c r="Q6" i="3"/>
  <c r="E7" i="3"/>
  <c r="L6" i="3"/>
  <c r="R6" i="3"/>
  <c r="M6" i="3" l="1"/>
  <c r="G6" i="3" a="1"/>
  <c r="F6" i="3" a="1"/>
  <c r="H6" i="3"/>
  <c r="G6" i="3"/>
  <c r="I6" i="3" l="1"/>
  <c r="N6" i="3" s="1"/>
  <c r="E6" i="3" a="1"/>
  <c r="F6" i="3"/>
  <c r="S5" i="3" l="1"/>
  <c r="L5" i="3" a="1"/>
  <c r="K5" i="3" a="1"/>
  <c r="P5" i="3" a="1"/>
  <c r="R5" i="3" a="1"/>
  <c r="O5" i="3" a="1"/>
  <c r="H5" i="3" a="1"/>
  <c r="Q5" i="3" a="1"/>
  <c r="P5" i="3"/>
  <c r="R5" i="3"/>
  <c r="E6" i="3"/>
  <c r="K5" i="3"/>
  <c r="O5" i="3"/>
  <c r="L5" i="3"/>
  <c r="Q5" i="3"/>
  <c r="M5" i="3" l="1"/>
  <c r="F5" i="3" a="1"/>
  <c r="G5" i="3" a="1"/>
  <c r="H5" i="3"/>
  <c r="G5" i="3"/>
  <c r="I5" i="3" l="1"/>
  <c r="N5" i="3" s="1"/>
  <c r="E5" i="3" a="1"/>
  <c r="F5" i="3"/>
  <c r="S4" i="3" l="1"/>
  <c r="R4" i="3" a="1"/>
  <c r="E5" i="3"/>
  <c r="C46" i="3" l="1" a="1"/>
  <c r="F50" i="3" s="1"/>
  <c r="J53" i="4" a="1"/>
  <c r="J53" i="4" s="1"/>
  <c r="J46" i="4" a="1"/>
  <c r="J46" i="4" s="1"/>
  <c r="J35" i="4" a="1"/>
  <c r="J35" i="4" s="1"/>
  <c r="J22" i="4" a="1"/>
  <c r="J22" i="4" s="1"/>
  <c r="J11" i="4" a="1"/>
  <c r="J11" i="4" s="1"/>
  <c r="A2" i="4" a="1"/>
  <c r="A2" i="4" s="1"/>
  <c r="B2" i="4" s="1" a="1"/>
  <c r="B2" i="4" s="1"/>
  <c r="C46" i="4" a="1"/>
  <c r="C46" i="4" s="1"/>
  <c r="C22" i="4" a="1"/>
  <c r="C22" i="4" s="1"/>
  <c r="B53" i="4" a="1"/>
  <c r="B53" i="4" s="1"/>
  <c r="B35" i="4" a="1"/>
  <c r="B35" i="4" s="1"/>
  <c r="B11" i="4" a="1"/>
  <c r="B11" i="4" s="1"/>
  <c r="F53" i="4" a="1"/>
  <c r="F53" i="4" s="1"/>
  <c r="F46" i="4" a="1"/>
  <c r="F46" i="4" s="1"/>
  <c r="F35" i="4" a="1"/>
  <c r="F35" i="4" s="1"/>
  <c r="F22" i="4" a="1"/>
  <c r="F22" i="4" s="1"/>
  <c r="D53" i="4" a="1"/>
  <c r="D53" i="4" s="1"/>
  <c r="D35" i="4" a="1"/>
  <c r="D35" i="4" s="1"/>
  <c r="C53" i="4" a="1"/>
  <c r="C53" i="4" s="1"/>
  <c r="C35" i="4" a="1"/>
  <c r="C35" i="4" s="1"/>
  <c r="B46" i="4" a="1"/>
  <c r="B46" i="4" s="1"/>
  <c r="B22" i="4" a="1"/>
  <c r="B22" i="4" s="1"/>
  <c r="E53" i="4" a="1"/>
  <c r="E53" i="4" s="1"/>
  <c r="E46" i="4" a="1"/>
  <c r="E46" i="4" s="1"/>
  <c r="E35" i="4" a="1"/>
  <c r="E35" i="4" s="1"/>
  <c r="E22" i="4" a="1"/>
  <c r="E22" i="4" s="1"/>
  <c r="D46" i="4" a="1"/>
  <c r="D46" i="4" s="1"/>
  <c r="D22" i="4" a="1"/>
  <c r="D22" i="4" s="1"/>
  <c r="Q4" i="3" a="1"/>
  <c r="R4" i="3"/>
  <c r="D51" i="3" l="1"/>
  <c r="D48" i="3"/>
  <c r="D47" i="3"/>
  <c r="E50" i="3"/>
  <c r="F49" i="3"/>
  <c r="F48" i="3"/>
  <c r="C46" i="3"/>
  <c r="E47" i="3"/>
  <c r="D49" i="3"/>
  <c r="E51" i="3"/>
  <c r="D50" i="3"/>
  <c r="F51" i="3"/>
  <c r="E49" i="3"/>
  <c r="E48" i="3"/>
  <c r="F47" i="3"/>
  <c r="E43" i="4"/>
  <c r="E42" i="4"/>
  <c r="D42" i="4"/>
  <c r="D43" i="4"/>
  <c r="E31" i="4"/>
  <c r="E32" i="4"/>
  <c r="C31" i="4"/>
  <c r="C32" i="4"/>
  <c r="C43" i="4"/>
  <c r="C42" i="4"/>
  <c r="D31" i="4"/>
  <c r="D32" i="4"/>
  <c r="L4" i="3" a="1"/>
  <c r="P4" i="3" a="1"/>
  <c r="O4" i="3" a="1"/>
  <c r="O4" i="3"/>
  <c r="Q4" i="3"/>
  <c r="P4" i="3"/>
  <c r="F11" i="4" l="1" a="1"/>
  <c r="F11" i="4" s="1"/>
  <c r="K4" i="3" a="1"/>
  <c r="L4" i="3"/>
  <c r="D11" i="4" l="1" a="1"/>
  <c r="D11" i="4" s="1"/>
  <c r="D18" i="4" s="1"/>
  <c r="H4" i="3" a="1"/>
  <c r="K4" i="3"/>
  <c r="C11" i="4" l="1" a="1"/>
  <c r="C11" i="4" s="1"/>
  <c r="C19" i="4" s="1"/>
  <c r="M4" i="3"/>
  <c r="D19" i="4"/>
  <c r="G4" i="3" a="1"/>
  <c r="H4" i="3"/>
  <c r="C18" i="4" l="1"/>
  <c r="F4" i="3" a="1"/>
  <c r="G4" i="3"/>
  <c r="I4" i="3" l="1"/>
  <c r="N4" i="3" s="1"/>
  <c r="E11" i="4" s="1" a="1"/>
  <c r="E11" i="4" s="1"/>
  <c r="E19" i="4" s="1"/>
  <c r="F46" i="3"/>
  <c r="D46" i="3"/>
  <c r="E46" i="3"/>
  <c r="E4" i="3" a="1"/>
  <c r="F4" i="3"/>
  <c r="E18" i="4" l="1"/>
  <c r="AA2" i="3"/>
  <c r="V2" i="3"/>
  <c r="T98" i="5"/>
  <c r="O98" i="5"/>
  <c r="C101" i="5"/>
  <c r="D65" i="6" s="1"/>
  <c r="Z19" i="3" a="1"/>
  <c r="Z24" i="3" a="1"/>
  <c r="AA39" i="3" a="1"/>
  <c r="Z33" i="3" a="1"/>
  <c r="Z13" i="3" a="1"/>
  <c r="Z11" i="3" a="1"/>
  <c r="AA29" i="3" a="1"/>
  <c r="AA17" i="3" a="1"/>
  <c r="Z39" i="3" a="1"/>
  <c r="AA24" i="3" a="1"/>
  <c r="Z34" i="3" a="1"/>
  <c r="AA14" i="3" a="1"/>
  <c r="AA28" i="3" a="1"/>
  <c r="AA7" i="3" a="1"/>
  <c r="Z7" i="3" a="1"/>
  <c r="Z38" i="3" a="1"/>
  <c r="AA11" i="3" a="1"/>
  <c r="AA33" i="3" a="1"/>
  <c r="AA16" i="3" a="1"/>
  <c r="Z32" i="3" a="1"/>
  <c r="Z18" i="3" a="1"/>
  <c r="Z9" i="3" a="1"/>
  <c r="Z8" i="3" a="1"/>
  <c r="AA23" i="3" a="1"/>
  <c r="AA4" i="3" a="1"/>
  <c r="AA20" i="3" a="1"/>
  <c r="Z27" i="3" a="1"/>
  <c r="AA21" i="3" a="1"/>
  <c r="AA35" i="3" a="1"/>
  <c r="AA38" i="3" a="1"/>
  <c r="Z28" i="3" a="1"/>
  <c r="Z12" i="3" a="1"/>
  <c r="AA6" i="3" a="1"/>
  <c r="AA32" i="3" a="1"/>
  <c r="Z36" i="3" a="1"/>
  <c r="AA19" i="3" a="1"/>
  <c r="Z29" i="3" a="1"/>
  <c r="AA34" i="3" a="1"/>
  <c r="AA22" i="3" a="1"/>
  <c r="Z23" i="3" a="1"/>
  <c r="Z22" i="3" a="1"/>
  <c r="Z31" i="3" a="1"/>
  <c r="AA30" i="3" a="1"/>
  <c r="AA15" i="3" a="1"/>
  <c r="AA13" i="3" a="1"/>
  <c r="Z37" i="3" a="1"/>
  <c r="AA25" i="3" a="1"/>
  <c r="Z4" i="3" a="1"/>
  <c r="AA18" i="3" a="1"/>
  <c r="Z25" i="3" a="1"/>
  <c r="AA9" i="3" a="1"/>
  <c r="AA31" i="3" a="1"/>
  <c r="Z16" i="3" a="1"/>
  <c r="Z17" i="3" a="1"/>
  <c r="AA36" i="3" a="1"/>
  <c r="AA10" i="3" a="1"/>
  <c r="Z10" i="3" a="1"/>
  <c r="Z15" i="3" a="1"/>
  <c r="Z20" i="3" a="1"/>
  <c r="AA26" i="3" a="1"/>
  <c r="Z5" i="3" a="1"/>
  <c r="AA8" i="3" a="1"/>
  <c r="Z21" i="3" a="1"/>
  <c r="Z26" i="3" a="1"/>
  <c r="AA37" i="3" a="1"/>
  <c r="Z6" i="3" a="1"/>
  <c r="AA27" i="3" a="1"/>
  <c r="AA12" i="3" a="1"/>
  <c r="Z35" i="3" a="1"/>
  <c r="AA5" i="3" a="1"/>
  <c r="Z30" i="3" a="1"/>
  <c r="Z14" i="3" a="1"/>
  <c r="U15" i="3" a="1"/>
  <c r="U21" i="3" a="1"/>
  <c r="U29" i="3" a="1"/>
  <c r="V38" i="3" a="1"/>
  <c r="V20" i="3" a="1"/>
  <c r="V31" i="3" a="1"/>
  <c r="V30" i="3" a="1"/>
  <c r="V28" i="3" a="1"/>
  <c r="V33" i="3" a="1"/>
  <c r="U14" i="3" a="1"/>
  <c r="V11" i="3" a="1"/>
  <c r="U35" i="3" a="1"/>
  <c r="V37" i="3" a="1"/>
  <c r="V9" i="3" a="1"/>
  <c r="V32" i="3" a="1"/>
  <c r="V18" i="3" a="1"/>
  <c r="V23" i="3" a="1"/>
  <c r="U17" i="3" a="1"/>
  <c r="V29" i="3" a="1"/>
  <c r="U5" i="3" a="1"/>
  <c r="U6" i="3" a="1"/>
  <c r="U7" i="3" a="1"/>
  <c r="V5" i="3" a="1"/>
  <c r="V26" i="3" a="1"/>
  <c r="V35" i="3" a="1"/>
  <c r="U23" i="3" a="1"/>
  <c r="V10" i="3" a="1"/>
  <c r="U27" i="3" a="1"/>
  <c r="V7" i="3" a="1"/>
  <c r="U19" i="3" a="1"/>
  <c r="V22" i="3" a="1"/>
  <c r="V34" i="3" a="1"/>
  <c r="U33" i="3" a="1"/>
  <c r="U10" i="3" a="1"/>
  <c r="U25" i="3" a="1"/>
  <c r="U22" i="3" a="1"/>
  <c r="V13" i="3" a="1"/>
  <c r="U26" i="3" a="1"/>
  <c r="V24" i="3" a="1"/>
  <c r="V6" i="3" a="1"/>
  <c r="U34" i="3" a="1"/>
  <c r="U12" i="3" a="1"/>
  <c r="U11" i="3" a="1"/>
  <c r="U31" i="3" a="1"/>
  <c r="U30" i="3" a="1"/>
  <c r="V15" i="3" a="1"/>
  <c r="V16" i="3" a="1"/>
  <c r="V36" i="3" a="1"/>
  <c r="U28" i="3" a="1"/>
  <c r="V19" i="3" a="1"/>
  <c r="V21" i="3" a="1"/>
  <c r="V8" i="3" a="1"/>
  <c r="V27" i="3" a="1"/>
  <c r="U20" i="3" a="1"/>
  <c r="V17" i="3" a="1"/>
  <c r="U18" i="3" a="1"/>
  <c r="U8" i="3" a="1"/>
  <c r="U13" i="3" a="1"/>
  <c r="U32" i="3" a="1"/>
  <c r="U24" i="3" a="1"/>
  <c r="U9" i="3" a="1"/>
  <c r="V4" i="3" a="1"/>
  <c r="V12" i="3" a="1"/>
  <c r="U37" i="3" a="1"/>
  <c r="U16" i="3" a="1"/>
  <c r="U38" i="3" a="1"/>
  <c r="U39" i="3" a="1"/>
  <c r="U4" i="3" a="1"/>
  <c r="U36" i="3" a="1"/>
  <c r="V25" i="3" a="1"/>
  <c r="V39" i="3" a="1"/>
  <c r="V14" i="3" a="1"/>
  <c r="T133" i="5" a="1"/>
  <c r="T141" i="5" a="1"/>
  <c r="U132" i="5" a="1"/>
  <c r="T217" i="5" a="1"/>
  <c r="T226" i="5" a="1"/>
  <c r="T453" i="5" a="1"/>
  <c r="T456" i="5" a="1"/>
  <c r="T264" i="5" a="1"/>
  <c r="T272" i="5" a="1"/>
  <c r="T334" i="5" a="1"/>
  <c r="T342" i="5" a="1"/>
  <c r="T218" i="5" a="1"/>
  <c r="U217" i="5" a="1"/>
  <c r="T400" i="5" a="1"/>
  <c r="U399" i="5" a="1"/>
  <c r="U290" i="5" a="1"/>
  <c r="U296" i="5" a="1"/>
  <c r="U134" i="5" a="1"/>
  <c r="U139" i="5" a="1"/>
  <c r="U141" i="5" a="1"/>
  <c r="T219" i="5" a="1"/>
  <c r="U218" i="5" a="1"/>
  <c r="T380" i="5" a="1"/>
  <c r="T383" i="5" a="1"/>
  <c r="U266" i="5" a="1"/>
  <c r="U272" i="5" a="1"/>
  <c r="T194" i="5" a="1"/>
  <c r="T202" i="5" a="1"/>
  <c r="U193" i="5" a="1"/>
  <c r="U105" i="5" a="1"/>
  <c r="U112" i="5" a="1"/>
  <c r="T241" i="5" a="1"/>
  <c r="T249" i="5" a="1"/>
  <c r="T102" i="5" a="1"/>
  <c r="T110" i="5" a="1"/>
  <c r="U101" i="5" a="1"/>
  <c r="T164" i="5" a="1"/>
  <c r="T172" i="5" a="1"/>
  <c r="U163" i="5" a="1"/>
  <c r="T130" i="5" a="1"/>
  <c r="T131" i="5" a="1"/>
  <c r="T139" i="5" a="1"/>
  <c r="U130" i="5" a="1"/>
  <c r="T436" i="5" a="1"/>
  <c r="T439" i="5" a="1"/>
  <c r="U486" i="5" a="1"/>
  <c r="U488" i="5" a="1"/>
  <c r="T486" i="5" a="1"/>
  <c r="U485" i="5" a="1"/>
  <c r="U165" i="5" a="1"/>
  <c r="U170" i="5" a="1"/>
  <c r="U172" i="5" a="1"/>
  <c r="T220" i="5" a="1"/>
  <c r="U219" i="5" a="1"/>
  <c r="U454" i="5" a="1"/>
  <c r="U456" i="5" a="1"/>
  <c r="U195" i="5" a="1"/>
  <c r="U200" i="5" a="1"/>
  <c r="U202" i="5" a="1"/>
  <c r="T288" i="5" a="1"/>
  <c r="T296" i="5" a="1"/>
  <c r="T470" i="5" a="1"/>
  <c r="U469" i="5" a="1"/>
  <c r="T419" i="5" a="1"/>
  <c r="U418" i="5" a="1"/>
  <c r="U220" i="5" a="1"/>
  <c r="U226" i="5" a="1"/>
  <c r="T357" i="5" a="1"/>
  <c r="U356" i="5" a="1"/>
  <c r="T312" i="5" a="1"/>
  <c r="U311" i="5" a="1"/>
  <c r="U470" i="5" a="1"/>
  <c r="U472" i="5" a="1"/>
  <c r="U243" i="5" a="1"/>
  <c r="U249" i="5" a="1"/>
  <c r="T265" i="5" a="1"/>
  <c r="U264" i="5" a="1"/>
  <c r="T266" i="5" a="1"/>
  <c r="U265" i="5" a="1"/>
  <c r="T358" i="5" a="1"/>
  <c r="U357" i="5" a="1"/>
  <c r="T399" i="5" a="1"/>
  <c r="T402" i="5" a="1"/>
  <c r="T103" i="5" a="1"/>
  <c r="T112" i="5" a="1"/>
  <c r="U102" i="5" a="1"/>
  <c r="T132" i="5" a="1"/>
  <c r="U131" i="5" a="1"/>
  <c r="U313" i="5" a="1"/>
  <c r="U319" i="5" a="1"/>
  <c r="U419" i="5" a="1"/>
  <c r="U421" i="5" a="1"/>
  <c r="T381" i="5" a="1"/>
  <c r="U380" i="5" a="1"/>
  <c r="T437" i="5" a="1"/>
  <c r="U436" i="5" a="1"/>
  <c r="T101" i="5" a="1"/>
  <c r="U400" i="5" a="1"/>
  <c r="U402" i="5" a="1"/>
  <c r="T104" i="5" a="1"/>
  <c r="U103" i="5" a="1"/>
  <c r="T335" i="5" a="1"/>
  <c r="U334" i="5" a="1"/>
  <c r="T162" i="5" a="1"/>
  <c r="T170" i="5" a="1"/>
  <c r="T165" i="5" a="1"/>
  <c r="U164" i="5" a="1"/>
  <c r="U336" i="5" a="1"/>
  <c r="U342" i="5" a="1"/>
  <c r="T242" i="5" a="1"/>
  <c r="U241" i="5" a="1"/>
  <c r="T418" i="5" a="1"/>
  <c r="T421" i="5" a="1"/>
  <c r="U437" i="5" a="1"/>
  <c r="U439" i="5" a="1"/>
  <c r="T290" i="5" a="1"/>
  <c r="U289" i="5" a="1"/>
  <c r="T195" i="5" a="1"/>
  <c r="U194" i="5" a="1"/>
  <c r="U381" i="5" a="1"/>
  <c r="U383" i="5" a="1"/>
  <c r="T105" i="5" a="1"/>
  <c r="U104" i="5" a="1"/>
  <c r="U110" i="5" a="1"/>
  <c r="T193" i="5" a="1"/>
  <c r="U192" i="5" a="1"/>
  <c r="T192" i="5" a="1"/>
  <c r="T200" i="5" a="1"/>
  <c r="T243" i="5" a="1"/>
  <c r="U242" i="5" a="1"/>
  <c r="T336" i="5" a="1"/>
  <c r="U335" i="5" a="1"/>
  <c r="T289" i="5" a="1"/>
  <c r="U288" i="5" a="1"/>
  <c r="T454" i="5" a="1"/>
  <c r="U453" i="5" a="1"/>
  <c r="T163" i="5" a="1"/>
  <c r="U162" i="5" a="1"/>
  <c r="T311" i="5" a="1"/>
  <c r="T319" i="5" a="1"/>
  <c r="U358" i="5" a="1"/>
  <c r="U364" i="5" a="1"/>
  <c r="T134" i="5" a="1"/>
  <c r="U133" i="5" a="1"/>
  <c r="T313" i="5" a="1"/>
  <c r="U312" i="5" a="1"/>
  <c r="P419" i="5" a="1"/>
  <c r="P421" i="5" a="1"/>
  <c r="P358" i="5" a="1"/>
  <c r="P364" i="5" a="1"/>
  <c r="O163" i="5" a="1"/>
  <c r="P162" i="5" a="1"/>
  <c r="P437" i="5" a="1"/>
  <c r="P439" i="5" a="1"/>
  <c r="O290" i="5" a="1"/>
  <c r="P289" i="5" a="1"/>
  <c r="P134" i="5" a="1"/>
  <c r="P139" i="5" a="1"/>
  <c r="P141" i="5" a="1"/>
  <c r="O358" i="5" a="1"/>
  <c r="P357" i="5" a="1"/>
  <c r="O164" i="5" a="1"/>
  <c r="O172" i="5" a="1"/>
  <c r="P163" i="5" a="1"/>
  <c r="O243" i="5" a="1"/>
  <c r="P242" i="5" a="1"/>
  <c r="O165" i="5" a="1"/>
  <c r="P164" i="5" a="1"/>
  <c r="O133" i="5" a="1"/>
  <c r="O141" i="5" a="1"/>
  <c r="P132" i="5" a="1"/>
  <c r="P165" i="5" a="1"/>
  <c r="P170" i="5" a="1"/>
  <c r="P172" i="5" a="1"/>
  <c r="O266" i="5" a="1"/>
  <c r="P265" i="5" a="1"/>
  <c r="O193" i="5" a="1"/>
  <c r="P192" i="5" a="1"/>
  <c r="O313" i="5" a="1"/>
  <c r="P312" i="5" a="1"/>
  <c r="O220" i="5" a="1"/>
  <c r="P219" i="5" a="1"/>
  <c r="O130" i="5" a="1"/>
  <c r="O131" i="5" a="1"/>
  <c r="O139" i="5" a="1"/>
  <c r="P130" i="5" a="1"/>
  <c r="O311" i="5" a="1"/>
  <c r="O319" i="5" a="1"/>
  <c r="O419" i="5" a="1"/>
  <c r="P418" i="5" a="1"/>
  <c r="O102" i="5" a="1"/>
  <c r="O110" i="5" a="1"/>
  <c r="P101" i="5" a="1"/>
  <c r="O336" i="5" a="1"/>
  <c r="P335" i="5" a="1"/>
  <c r="O195" i="5" a="1"/>
  <c r="P194" i="5" a="1"/>
  <c r="P195" i="5" a="1"/>
  <c r="P200" i="5" a="1"/>
  <c r="P202" i="5" a="1"/>
  <c r="O105" i="5" a="1"/>
  <c r="P104" i="5" a="1"/>
  <c r="P110" i="5" a="1"/>
  <c r="O219" i="5" a="1"/>
  <c r="P218" i="5" a="1"/>
  <c r="O380" i="5" a="1"/>
  <c r="O383" i="5" a="1"/>
  <c r="O400" i="5" a="1"/>
  <c r="P399" i="5" a="1"/>
  <c r="O101" i="5" a="1"/>
  <c r="O437" i="5" a="1"/>
  <c r="P436" i="5" a="1"/>
  <c r="O217" i="5" a="1"/>
  <c r="O226" i="5" a="1"/>
  <c r="O103" i="5" a="1"/>
  <c r="O112" i="5" a="1"/>
  <c r="P102" i="5" a="1"/>
  <c r="O134" i="5" a="1"/>
  <c r="P133" i="5" a="1"/>
  <c r="P243" i="5" a="1"/>
  <c r="P249" i="5" a="1"/>
  <c r="O192" i="5" a="1"/>
  <c r="O200" i="5" a="1"/>
  <c r="O218" i="5" a="1"/>
  <c r="P217" i="5" a="1"/>
  <c r="O288" i="5" a="1"/>
  <c r="O296" i="5" a="1"/>
  <c r="O194" i="5" a="1"/>
  <c r="O202" i="5" a="1"/>
  <c r="P193" i="5" a="1"/>
  <c r="O265" i="5" a="1"/>
  <c r="P264" i="5" a="1"/>
  <c r="P454" i="5" a="1"/>
  <c r="P456" i="5" a="1"/>
  <c r="O357" i="5" a="1"/>
  <c r="P356" i="5" a="1"/>
  <c r="O453" i="5" a="1"/>
  <c r="O456" i="5" a="1"/>
  <c r="O335" i="5" a="1"/>
  <c r="P334" i="5" a="1"/>
  <c r="P400" i="5" a="1"/>
  <c r="P402" i="5" a="1"/>
  <c r="O132" i="5" a="1"/>
  <c r="P131" i="5" a="1"/>
  <c r="O264" i="5" a="1"/>
  <c r="O272" i="5" a="1"/>
  <c r="O418" i="5" a="1"/>
  <c r="O421" i="5" a="1"/>
  <c r="O334" i="5" a="1"/>
  <c r="O342" i="5" a="1"/>
  <c r="O242" i="5" a="1"/>
  <c r="P241" i="5" a="1"/>
  <c r="P266" i="5" a="1"/>
  <c r="P272" i="5" a="1"/>
  <c r="O104" i="5" a="1"/>
  <c r="P103" i="5" a="1"/>
  <c r="O454" i="5" a="1"/>
  <c r="P453" i="5" a="1"/>
  <c r="O312" i="5" a="1"/>
  <c r="P311" i="5" a="1"/>
  <c r="O399" i="5" a="1"/>
  <c r="O402" i="5" a="1"/>
  <c r="P381" i="5" a="1"/>
  <c r="P383" i="5" a="1"/>
  <c r="O381" i="5" a="1"/>
  <c r="P380" i="5" a="1"/>
  <c r="O162" i="5" a="1"/>
  <c r="O170" i="5" a="1"/>
  <c r="O486" i="5" a="1"/>
  <c r="P485" i="5" a="1"/>
  <c r="P220" i="5" a="1"/>
  <c r="P226" i="5" a="1"/>
  <c r="O470" i="5" a="1"/>
  <c r="P469" i="5" a="1"/>
  <c r="P290" i="5" a="1"/>
  <c r="P296" i="5" a="1"/>
  <c r="P470" i="5" a="1"/>
  <c r="P472" i="5" a="1"/>
  <c r="P313" i="5" a="1"/>
  <c r="P319" i="5" a="1"/>
  <c r="P105" i="5" a="1"/>
  <c r="P112" i="5" a="1"/>
  <c r="P336" i="5" a="1"/>
  <c r="P342" i="5" a="1"/>
  <c r="O289" i="5" a="1"/>
  <c r="P288" i="5" a="1"/>
  <c r="O436" i="5" a="1"/>
  <c r="O439" i="5" a="1"/>
  <c r="O241" i="5" a="1"/>
  <c r="O249" i="5" a="1"/>
  <c r="P486" i="5" a="1"/>
  <c r="P488" i="5" a="1"/>
  <c r="T469" i="5" a="1"/>
  <c r="E4" i="3"/>
  <c r="O469" i="5" a="1"/>
  <c r="T488" i="5" a="1"/>
  <c r="O472" i="5" a="1"/>
  <c r="T485" i="5" a="1"/>
  <c r="O488" i="5" a="1"/>
  <c r="O356" i="5" a="1"/>
  <c r="O485" i="5" a="1"/>
  <c r="T356" i="5" a="1"/>
  <c r="T364" i="5" a="1"/>
  <c r="T472" i="5" a="1"/>
  <c r="O364" i="5" a="1"/>
  <c r="P488" i="5" l="1"/>
  <c r="P486" i="5"/>
  <c r="O249" i="5"/>
  <c r="O241" i="5"/>
  <c r="O439" i="5"/>
  <c r="O436" i="5"/>
  <c r="P288" i="5"/>
  <c r="O289" i="5"/>
  <c r="P342" i="5"/>
  <c r="P336" i="5"/>
  <c r="P112" i="5"/>
  <c r="P105" i="5"/>
  <c r="P319" i="5"/>
  <c r="P313" i="5"/>
  <c r="P472" i="5"/>
  <c r="P470" i="5"/>
  <c r="P296" i="5"/>
  <c r="P290" i="5"/>
  <c r="P469" i="5"/>
  <c r="O470" i="5"/>
  <c r="P226" i="5"/>
  <c r="P220" i="5"/>
  <c r="P485" i="5"/>
  <c r="O486" i="5"/>
  <c r="O170" i="5"/>
  <c r="O162" i="5"/>
  <c r="P380" i="5"/>
  <c r="O381" i="5"/>
  <c r="P383" i="5"/>
  <c r="P381" i="5"/>
  <c r="O402" i="5"/>
  <c r="O399" i="5"/>
  <c r="P311" i="5"/>
  <c r="O312" i="5"/>
  <c r="P453" i="5"/>
  <c r="O454" i="5"/>
  <c r="P103" i="5"/>
  <c r="O104" i="5"/>
  <c r="P272" i="5"/>
  <c r="P266" i="5"/>
  <c r="P241" i="5"/>
  <c r="O242" i="5"/>
  <c r="O342" i="5"/>
  <c r="O334" i="5"/>
  <c r="O421" i="5"/>
  <c r="O418" i="5"/>
  <c r="O272" i="5"/>
  <c r="O264" i="5"/>
  <c r="P131" i="5"/>
  <c r="O132" i="5"/>
  <c r="P402" i="5"/>
  <c r="P400" i="5"/>
  <c r="P334" i="5"/>
  <c r="O335" i="5"/>
  <c r="O456" i="5"/>
  <c r="O453" i="5"/>
  <c r="P356" i="5"/>
  <c r="O357" i="5"/>
  <c r="P456" i="5"/>
  <c r="P454" i="5"/>
  <c r="P264" i="5"/>
  <c r="O265" i="5"/>
  <c r="P193" i="5"/>
  <c r="O202" i="5"/>
  <c r="O194" i="5"/>
  <c r="O296" i="5"/>
  <c r="O288" i="5"/>
  <c r="P217" i="5"/>
  <c r="O218" i="5"/>
  <c r="O200" i="5"/>
  <c r="O192" i="5"/>
  <c r="P249" i="5"/>
  <c r="P243" i="5"/>
  <c r="P133" i="5"/>
  <c r="O134" i="5"/>
  <c r="P102" i="5"/>
  <c r="O112" i="5"/>
  <c r="O103" i="5"/>
  <c r="O226" i="5"/>
  <c r="O217" i="5"/>
  <c r="P436" i="5"/>
  <c r="O437" i="5"/>
  <c r="O101" i="5"/>
  <c r="P399" i="5"/>
  <c r="O400" i="5"/>
  <c r="O383" i="5"/>
  <c r="O380" i="5"/>
  <c r="P218" i="5"/>
  <c r="O219" i="5"/>
  <c r="P110" i="5"/>
  <c r="P104" i="5"/>
  <c r="O105" i="5"/>
  <c r="P202" i="5"/>
  <c r="P200" i="5"/>
  <c r="P195" i="5"/>
  <c r="P194" i="5"/>
  <c r="O195" i="5"/>
  <c r="P335" i="5"/>
  <c r="O336" i="5"/>
  <c r="P101" i="5"/>
  <c r="O110" i="5"/>
  <c r="O102" i="5"/>
  <c r="P418" i="5"/>
  <c r="O419" i="5"/>
  <c r="O319" i="5"/>
  <c r="O311" i="5"/>
  <c r="P130" i="5"/>
  <c r="O139" i="5"/>
  <c r="O131" i="5"/>
  <c r="O130" i="5"/>
  <c r="P219" i="5"/>
  <c r="O220" i="5"/>
  <c r="P312" i="5"/>
  <c r="O313" i="5"/>
  <c r="P192" i="5"/>
  <c r="O193" i="5"/>
  <c r="P265" i="5"/>
  <c r="O266" i="5"/>
  <c r="P172" i="5"/>
  <c r="P170" i="5"/>
  <c r="P165" i="5"/>
  <c r="P132" i="5"/>
  <c r="O141" i="5"/>
  <c r="O133" i="5"/>
  <c r="P164" i="5"/>
  <c r="O165" i="5"/>
  <c r="P242" i="5"/>
  <c r="O243" i="5"/>
  <c r="P163" i="5"/>
  <c r="O172" i="5"/>
  <c r="O164" i="5"/>
  <c r="P357" i="5"/>
  <c r="O358" i="5"/>
  <c r="P141" i="5"/>
  <c r="P139" i="5"/>
  <c r="P134" i="5"/>
  <c r="P289" i="5"/>
  <c r="O290" i="5"/>
  <c r="P439" i="5"/>
  <c r="P437" i="5"/>
  <c r="P162" i="5"/>
  <c r="O163" i="5"/>
  <c r="P364" i="5"/>
  <c r="P358" i="5"/>
  <c r="P421" i="5"/>
  <c r="P419" i="5"/>
  <c r="U312" i="5"/>
  <c r="T313" i="5"/>
  <c r="U133" i="5"/>
  <c r="T134" i="5"/>
  <c r="U364" i="5"/>
  <c r="U358" i="5"/>
  <c r="T319" i="5"/>
  <c r="T311" i="5"/>
  <c r="U162" i="5"/>
  <c r="T163" i="5"/>
  <c r="U453" i="5"/>
  <c r="T454" i="5"/>
  <c r="U288" i="5"/>
  <c r="T289" i="5"/>
  <c r="U335" i="5"/>
  <c r="T336" i="5"/>
  <c r="U242" i="5"/>
  <c r="T243" i="5"/>
  <c r="T200" i="5"/>
  <c r="T192" i="5"/>
  <c r="U192" i="5"/>
  <c r="T193" i="5"/>
  <c r="U110" i="5"/>
  <c r="U104" i="5"/>
  <c r="T105" i="5"/>
  <c r="U383" i="5"/>
  <c r="U381" i="5"/>
  <c r="U194" i="5"/>
  <c r="T195" i="5"/>
  <c r="U289" i="5"/>
  <c r="T290" i="5"/>
  <c r="U439" i="5"/>
  <c r="U437" i="5"/>
  <c r="T421" i="5"/>
  <c r="T418" i="5"/>
  <c r="U241" i="5"/>
  <c r="T242" i="5"/>
  <c r="U342" i="5"/>
  <c r="U336" i="5"/>
  <c r="U164" i="5"/>
  <c r="T165" i="5"/>
  <c r="T170" i="5"/>
  <c r="T162" i="5"/>
  <c r="U334" i="5"/>
  <c r="T335" i="5"/>
  <c r="U103" i="5"/>
  <c r="T104" i="5"/>
  <c r="U402" i="5"/>
  <c r="U400" i="5"/>
  <c r="T101" i="5"/>
  <c r="U436" i="5"/>
  <c r="T437" i="5"/>
  <c r="U380" i="5"/>
  <c r="T381" i="5"/>
  <c r="U421" i="5"/>
  <c r="U419" i="5"/>
  <c r="U319" i="5"/>
  <c r="U313" i="5"/>
  <c r="U131" i="5"/>
  <c r="T132" i="5"/>
  <c r="U102" i="5"/>
  <c r="T112" i="5"/>
  <c r="T103" i="5"/>
  <c r="T402" i="5"/>
  <c r="T399" i="5"/>
  <c r="U357" i="5"/>
  <c r="T358" i="5"/>
  <c r="U265" i="5"/>
  <c r="T266" i="5"/>
  <c r="U264" i="5"/>
  <c r="T265" i="5"/>
  <c r="U249" i="5"/>
  <c r="U243" i="5"/>
  <c r="U472" i="5"/>
  <c r="U470" i="5"/>
  <c r="U311" i="5"/>
  <c r="T312" i="5"/>
  <c r="U356" i="5"/>
  <c r="T357" i="5"/>
  <c r="U226" i="5"/>
  <c r="U220" i="5"/>
  <c r="U418" i="5"/>
  <c r="T419" i="5"/>
  <c r="U469" i="5"/>
  <c r="T470" i="5"/>
  <c r="T296" i="5"/>
  <c r="T288" i="5"/>
  <c r="U202" i="5"/>
  <c r="U200" i="5"/>
  <c r="U195" i="5"/>
  <c r="U456" i="5"/>
  <c r="U454" i="5"/>
  <c r="U219" i="5"/>
  <c r="T220" i="5"/>
  <c r="U172" i="5"/>
  <c r="U170" i="5"/>
  <c r="U165" i="5"/>
  <c r="U485" i="5"/>
  <c r="T486" i="5"/>
  <c r="U488" i="5"/>
  <c r="U486" i="5"/>
  <c r="T439" i="5"/>
  <c r="T436" i="5"/>
  <c r="U130" i="5"/>
  <c r="T139" i="5"/>
  <c r="T131" i="5"/>
  <c r="T130" i="5"/>
  <c r="U163" i="5"/>
  <c r="T172" i="5"/>
  <c r="T164" i="5"/>
  <c r="U101" i="5"/>
  <c r="T110" i="5"/>
  <c r="T102" i="5"/>
  <c r="T249" i="5"/>
  <c r="T241" i="5"/>
  <c r="U112" i="5"/>
  <c r="U105" i="5"/>
  <c r="U193" i="5"/>
  <c r="T202" i="5"/>
  <c r="T194" i="5"/>
  <c r="U272" i="5"/>
  <c r="U266" i="5"/>
  <c r="T383" i="5"/>
  <c r="T380" i="5"/>
  <c r="U218" i="5"/>
  <c r="T219" i="5"/>
  <c r="U141" i="5"/>
  <c r="U139" i="5"/>
  <c r="U134" i="5"/>
  <c r="U296" i="5"/>
  <c r="U290" i="5"/>
  <c r="U399" i="5"/>
  <c r="T400" i="5"/>
  <c r="U217" i="5"/>
  <c r="T218" i="5"/>
  <c r="T342" i="5"/>
  <c r="T334" i="5"/>
  <c r="T272" i="5"/>
  <c r="T264" i="5"/>
  <c r="T456" i="5"/>
  <c r="T453" i="5"/>
  <c r="T226" i="5"/>
  <c r="T217" i="5"/>
  <c r="U132" i="5"/>
  <c r="T141" i="5"/>
  <c r="T133" i="5"/>
  <c r="V14" i="3"/>
  <c r="V39" i="3"/>
  <c r="V25" i="3"/>
  <c r="U36" i="3"/>
  <c r="U4" i="3"/>
  <c r="U39" i="3"/>
  <c r="U38" i="3"/>
  <c r="U16" i="3"/>
  <c r="U37" i="3"/>
  <c r="V12" i="3"/>
  <c r="V4" i="3"/>
  <c r="U9" i="3"/>
  <c r="U24" i="3"/>
  <c r="U32" i="3"/>
  <c r="U13" i="3"/>
  <c r="U8" i="3"/>
  <c r="U18" i="3"/>
  <c r="V17" i="3"/>
  <c r="U20" i="3"/>
  <c r="V27" i="3"/>
  <c r="V8" i="3"/>
  <c r="V21" i="3"/>
  <c r="V19" i="3"/>
  <c r="U28" i="3"/>
  <c r="V36" i="3"/>
  <c r="V16" i="3"/>
  <c r="V15" i="3"/>
  <c r="U30" i="3"/>
  <c r="U31" i="3"/>
  <c r="U11" i="3"/>
  <c r="U12" i="3"/>
  <c r="U34" i="3"/>
  <c r="V6" i="3"/>
  <c r="V24" i="3"/>
  <c r="U26" i="3"/>
  <c r="V13" i="3"/>
  <c r="U22" i="3"/>
  <c r="U25" i="3"/>
  <c r="U10" i="3"/>
  <c r="U33" i="3"/>
  <c r="V34" i="3"/>
  <c r="V22" i="3"/>
  <c r="U19" i="3"/>
  <c r="V7" i="3"/>
  <c r="U27" i="3"/>
  <c r="V10" i="3"/>
  <c r="U23" i="3"/>
  <c r="V35" i="3"/>
  <c r="V26" i="3"/>
  <c r="V5" i="3"/>
  <c r="U7" i="3"/>
  <c r="U6" i="3"/>
  <c r="U5" i="3"/>
  <c r="V29" i="3"/>
  <c r="U17" i="3"/>
  <c r="V23" i="3"/>
  <c r="V18" i="3"/>
  <c r="V32" i="3"/>
  <c r="V9" i="3"/>
  <c r="V37" i="3"/>
  <c r="U35" i="3"/>
  <c r="V11" i="3"/>
  <c r="U14" i="3"/>
  <c r="V33" i="3"/>
  <c r="V28" i="3"/>
  <c r="V30" i="3"/>
  <c r="V31" i="3"/>
  <c r="V20" i="3"/>
  <c r="V38" i="3"/>
  <c r="U29" i="3"/>
  <c r="U21" i="3"/>
  <c r="U15" i="3"/>
  <c r="Z14" i="3"/>
  <c r="Z30" i="3"/>
  <c r="AA5" i="3"/>
  <c r="Z35" i="3"/>
  <c r="AA12" i="3"/>
  <c r="AA27" i="3"/>
  <c r="Z6" i="3"/>
  <c r="AA37" i="3"/>
  <c r="Z26" i="3"/>
  <c r="Z21" i="3"/>
  <c r="AA8" i="3"/>
  <c r="Z5" i="3"/>
  <c r="AA26" i="3"/>
  <c r="Z20" i="3"/>
  <c r="Z15" i="3"/>
  <c r="Z10" i="3"/>
  <c r="AA10" i="3"/>
  <c r="AA36" i="3"/>
  <c r="Z17" i="3"/>
  <c r="Z16" i="3"/>
  <c r="AA31" i="3"/>
  <c r="AA9" i="3"/>
  <c r="Z25" i="3"/>
  <c r="AA18" i="3"/>
  <c r="Z4" i="3"/>
  <c r="AA25" i="3"/>
  <c r="Z37" i="3"/>
  <c r="AA13" i="3"/>
  <c r="AA15" i="3"/>
  <c r="AA30" i="3"/>
  <c r="Z31" i="3"/>
  <c r="Z22" i="3"/>
  <c r="Z23" i="3"/>
  <c r="AA22" i="3"/>
  <c r="AA34" i="3"/>
  <c r="Z29" i="3"/>
  <c r="AA19" i="3"/>
  <c r="Z36" i="3"/>
  <c r="AA32" i="3"/>
  <c r="AA6" i="3"/>
  <c r="Z12" i="3"/>
  <c r="Z28" i="3"/>
  <c r="AA38" i="3"/>
  <c r="AA35" i="3"/>
  <c r="AA21" i="3"/>
  <c r="Z27" i="3"/>
  <c r="AA20" i="3"/>
  <c r="AA4" i="3"/>
  <c r="AA23" i="3"/>
  <c r="Z8" i="3"/>
  <c r="Z9" i="3"/>
  <c r="Z18" i="3"/>
  <c r="Z32" i="3"/>
  <c r="AA16" i="3"/>
  <c r="AA33" i="3"/>
  <c r="AA11" i="3"/>
  <c r="Z38" i="3"/>
  <c r="Z7" i="3"/>
  <c r="AA7" i="3"/>
  <c r="AA28" i="3"/>
  <c r="AA14" i="3"/>
  <c r="Z34" i="3"/>
  <c r="AA24" i="3"/>
  <c r="Z39" i="3"/>
  <c r="AA17" i="3"/>
  <c r="AA29" i="3"/>
  <c r="Z11" i="3"/>
  <c r="Z13" i="3"/>
  <c r="Z33" i="3"/>
  <c r="AA39" i="3"/>
  <c r="Z24" i="3"/>
  <c r="Z19" i="3"/>
  <c r="O488" i="5"/>
  <c r="O485" i="5"/>
  <c r="T488" i="5"/>
  <c r="T485" i="5"/>
  <c r="O472" i="5"/>
  <c r="O469" i="5"/>
  <c r="T472" i="5"/>
  <c r="T469" i="5"/>
  <c r="O356" i="5"/>
  <c r="O364" i="5"/>
  <c r="T356" i="5"/>
  <c r="T364" i="5"/>
  <c r="G101" i="5"/>
  <c r="E101" i="5"/>
  <c r="C112" i="5"/>
  <c r="D74" i="6" s="1"/>
  <c r="B112" i="5"/>
  <c r="C74" i="6" s="1"/>
  <c r="C110" i="5"/>
  <c r="D72" i="6" s="1"/>
  <c r="B110" i="5"/>
  <c r="C72" i="6" s="1"/>
  <c r="B105" i="5"/>
  <c r="C69" i="6" s="1"/>
  <c r="C105" i="5"/>
  <c r="D69" i="6" s="1"/>
  <c r="C104" i="5"/>
  <c r="D68" i="6" s="1"/>
  <c r="B104" i="5"/>
  <c r="C68" i="6" s="1"/>
  <c r="B103" i="5"/>
  <c r="C67" i="6" s="1"/>
  <c r="C103" i="5"/>
  <c r="D67" i="6" s="1"/>
  <c r="B102" i="5"/>
  <c r="C66" i="6" s="1"/>
  <c r="C102" i="5"/>
  <c r="D66" i="6" s="1"/>
  <c r="AB38" i="3" l="1"/>
  <c r="AC38" i="3" s="1"/>
  <c r="AD38" i="3" s="1"/>
  <c r="W39" i="3"/>
  <c r="X39" i="3" s="1"/>
  <c r="Y39" i="3" s="1"/>
  <c r="Q486" i="5"/>
  <c r="R486" i="5" s="1"/>
  <c r="S486" i="5" s="1"/>
  <c r="Q472" i="5"/>
  <c r="R472" i="5" s="1"/>
  <c r="S472" i="5" s="1"/>
  <c r="V472" i="5"/>
  <c r="W472" i="5" s="1"/>
  <c r="X472" i="5" s="1"/>
  <c r="V469" i="5"/>
  <c r="W469" i="5" s="1"/>
  <c r="X469" i="5" s="1"/>
  <c r="Q470" i="5"/>
  <c r="R470" i="5" s="1"/>
  <c r="S470" i="5" s="1"/>
  <c r="V485" i="5"/>
  <c r="W485" i="5" s="1"/>
  <c r="X485" i="5" s="1"/>
  <c r="Q485" i="5"/>
  <c r="R485" i="5" s="1"/>
  <c r="S485" i="5" s="1"/>
  <c r="V488" i="5"/>
  <c r="W488" i="5" s="1"/>
  <c r="X488" i="5" s="1"/>
  <c r="Q488" i="5"/>
  <c r="R488" i="5" s="1"/>
  <c r="S488" i="5" s="1"/>
  <c r="V486" i="5"/>
  <c r="W486" i="5" s="1"/>
  <c r="X486" i="5" s="1"/>
  <c r="Q437" i="5"/>
  <c r="R437" i="5" s="1"/>
  <c r="S437" i="5" s="1"/>
  <c r="H212" i="6" s="1"/>
  <c r="V453" i="5"/>
  <c r="W453" i="5" s="1"/>
  <c r="X453" i="5" s="1"/>
  <c r="I223" i="6" s="1"/>
  <c r="V470" i="5"/>
  <c r="W470" i="5" s="1"/>
  <c r="X470" i="5" s="1"/>
  <c r="Q469" i="5"/>
  <c r="R469" i="5" s="1"/>
  <c r="S469" i="5" s="1"/>
  <c r="V436" i="5"/>
  <c r="W436" i="5" s="1"/>
  <c r="X436" i="5" s="1"/>
  <c r="I211" i="6" s="1"/>
  <c r="V454" i="5"/>
  <c r="W454" i="5" s="1"/>
  <c r="X454" i="5" s="1"/>
  <c r="I224" i="6" s="1"/>
  <c r="V437" i="5"/>
  <c r="W437" i="5" s="1"/>
  <c r="X437" i="5" s="1"/>
  <c r="I212" i="6" s="1"/>
  <c r="Q419" i="5"/>
  <c r="R419" i="5" s="1"/>
  <c r="S419" i="5" s="1"/>
  <c r="H205" i="6" s="1"/>
  <c r="Q456" i="5"/>
  <c r="R456" i="5" s="1"/>
  <c r="S456" i="5" s="1"/>
  <c r="H226" i="6" s="1"/>
  <c r="V456" i="5"/>
  <c r="W456" i="5" s="1"/>
  <c r="X456" i="5" s="1"/>
  <c r="I226" i="6" s="1"/>
  <c r="Q454" i="5"/>
  <c r="R454" i="5" s="1"/>
  <c r="S454" i="5" s="1"/>
  <c r="H224" i="6" s="1"/>
  <c r="Q453" i="5"/>
  <c r="R453" i="5" s="1"/>
  <c r="S453" i="5" s="1"/>
  <c r="H223" i="6" s="1"/>
  <c r="V419" i="5"/>
  <c r="W419" i="5" s="1"/>
  <c r="X419" i="5" s="1"/>
  <c r="I205" i="6" s="1"/>
  <c r="V439" i="5"/>
  <c r="W439" i="5" s="1"/>
  <c r="X439" i="5" s="1"/>
  <c r="I214" i="6" s="1"/>
  <c r="Q439" i="5"/>
  <c r="R439" i="5" s="1"/>
  <c r="S439" i="5" s="1"/>
  <c r="H214" i="6" s="1"/>
  <c r="Q436" i="5"/>
  <c r="R436" i="5" s="1"/>
  <c r="S436" i="5" s="1"/>
  <c r="H211" i="6" s="1"/>
  <c r="Q421" i="5"/>
  <c r="R421" i="5" s="1"/>
  <c r="S421" i="5" s="1"/>
  <c r="H207" i="6" s="1"/>
  <c r="V400" i="5"/>
  <c r="W400" i="5" s="1"/>
  <c r="X400" i="5" s="1"/>
  <c r="I199" i="6" s="1"/>
  <c r="Q418" i="5"/>
  <c r="R418" i="5" s="1"/>
  <c r="S418" i="5" s="1"/>
  <c r="H204" i="6" s="1"/>
  <c r="V421" i="5"/>
  <c r="W421" i="5" s="1"/>
  <c r="X421" i="5" s="1"/>
  <c r="I207" i="6" s="1"/>
  <c r="V418" i="5"/>
  <c r="W418" i="5" s="1"/>
  <c r="X418" i="5" s="1"/>
  <c r="I204" i="6" s="1"/>
  <c r="Q381" i="5"/>
  <c r="R381" i="5" s="1"/>
  <c r="S381" i="5" s="1"/>
  <c r="H193" i="6" s="1"/>
  <c r="Q402" i="5"/>
  <c r="R402" i="5" s="1"/>
  <c r="S402" i="5" s="1"/>
  <c r="H201" i="6" s="1"/>
  <c r="Q400" i="5"/>
  <c r="R400" i="5" s="1"/>
  <c r="S400" i="5" s="1"/>
  <c r="H199" i="6" s="1"/>
  <c r="V399" i="5"/>
  <c r="W399" i="5" s="1"/>
  <c r="X399" i="5" s="1"/>
  <c r="I198" i="6" s="1"/>
  <c r="Q399" i="5"/>
  <c r="R399" i="5" s="1"/>
  <c r="S399" i="5" s="1"/>
  <c r="H198" i="6" s="1"/>
  <c r="V402" i="5"/>
  <c r="W402" i="5" s="1"/>
  <c r="X402" i="5" s="1"/>
  <c r="I201" i="6" s="1"/>
  <c r="V381" i="5"/>
  <c r="W381" i="5" s="1"/>
  <c r="X381" i="5" s="1"/>
  <c r="I193" i="6" s="1"/>
  <c r="Q358" i="5"/>
  <c r="R358" i="5" s="1"/>
  <c r="S358" i="5" s="1"/>
  <c r="Q364" i="5"/>
  <c r="R364" i="5" s="1"/>
  <c r="S364" i="5" s="1"/>
  <c r="V383" i="5"/>
  <c r="W383" i="5" s="1"/>
  <c r="X383" i="5" s="1"/>
  <c r="I195" i="6" s="1"/>
  <c r="Q383" i="5"/>
  <c r="R383" i="5" s="1"/>
  <c r="S383" i="5" s="1"/>
  <c r="H195" i="6" s="1"/>
  <c r="V380" i="5"/>
  <c r="W380" i="5" s="1"/>
  <c r="Q380" i="5"/>
  <c r="R380" i="5" s="1"/>
  <c r="V356" i="5"/>
  <c r="W356" i="5" s="1"/>
  <c r="X356" i="5" s="1"/>
  <c r="Q356" i="5"/>
  <c r="R356" i="5" s="1"/>
  <c r="S356" i="5" s="1"/>
  <c r="Q311" i="5"/>
  <c r="R311" i="5" s="1"/>
  <c r="S311" i="5" s="1"/>
  <c r="H166" i="6" s="1"/>
  <c r="Q265" i="5"/>
  <c r="R265" i="5" s="1"/>
  <c r="S265" i="5" s="1"/>
  <c r="H147" i="6" s="1"/>
  <c r="V357" i="5"/>
  <c r="W357" i="5" s="1"/>
  <c r="X357" i="5" s="1"/>
  <c r="V335" i="5"/>
  <c r="W335" i="5" s="1"/>
  <c r="X335" i="5" s="1"/>
  <c r="I180" i="6" s="1"/>
  <c r="V364" i="5"/>
  <c r="W364" i="5" s="1"/>
  <c r="X364" i="5" s="1"/>
  <c r="Q357" i="5"/>
  <c r="R357" i="5" s="1"/>
  <c r="S357" i="5" s="1"/>
  <c r="V358" i="5"/>
  <c r="W358" i="5" s="1"/>
  <c r="X358" i="5" s="1"/>
  <c r="Q336" i="5"/>
  <c r="R336" i="5" s="1"/>
  <c r="S336" i="5" s="1"/>
  <c r="H181" i="6" s="1"/>
  <c r="V336" i="5"/>
  <c r="W336" i="5" s="1"/>
  <c r="X336" i="5" s="1"/>
  <c r="I181" i="6" s="1"/>
  <c r="Q335" i="5"/>
  <c r="R335" i="5" s="1"/>
  <c r="S335" i="5" s="1"/>
  <c r="H180" i="6" s="1"/>
  <c r="V334" i="5"/>
  <c r="W334" i="5" s="1"/>
  <c r="Q313" i="5"/>
  <c r="R313" i="5" s="1"/>
  <c r="S313" i="5" s="1"/>
  <c r="H168" i="6" s="1"/>
  <c r="Q342" i="5"/>
  <c r="R342" i="5" s="1"/>
  <c r="S342" i="5" s="1"/>
  <c r="H184" i="6" s="1"/>
  <c r="V342" i="5"/>
  <c r="W342" i="5" s="1"/>
  <c r="X342" i="5" s="1"/>
  <c r="I184" i="6" s="1"/>
  <c r="Q334" i="5"/>
  <c r="R334" i="5" s="1"/>
  <c r="V289" i="5"/>
  <c r="W289" i="5" s="1"/>
  <c r="X289" i="5" s="1"/>
  <c r="I157" i="6" s="1"/>
  <c r="Q319" i="5"/>
  <c r="R319" i="5" s="1"/>
  <c r="S319" i="5" s="1"/>
  <c r="H171" i="6" s="1"/>
  <c r="V311" i="5"/>
  <c r="W311" i="5" s="1"/>
  <c r="V319" i="5"/>
  <c r="W319" i="5" s="1"/>
  <c r="X319" i="5" s="1"/>
  <c r="I171" i="6" s="1"/>
  <c r="Q312" i="5"/>
  <c r="R312" i="5" s="1"/>
  <c r="S312" i="5" s="1"/>
  <c r="H167" i="6" s="1"/>
  <c r="V312" i="5"/>
  <c r="W312" i="5" s="1"/>
  <c r="X312" i="5" s="1"/>
  <c r="I167" i="6" s="1"/>
  <c r="V313" i="5"/>
  <c r="W313" i="5" s="1"/>
  <c r="X313" i="5" s="1"/>
  <c r="I168" i="6" s="1"/>
  <c r="Q243" i="5"/>
  <c r="R243" i="5" s="1"/>
  <c r="S243" i="5" s="1"/>
  <c r="H137" i="6" s="1"/>
  <c r="Q296" i="5"/>
  <c r="R296" i="5" s="1"/>
  <c r="S296" i="5" s="1"/>
  <c r="H161" i="6" s="1"/>
  <c r="Q289" i="5"/>
  <c r="R289" i="5" s="1"/>
  <c r="S289" i="5" s="1"/>
  <c r="H157" i="6" s="1"/>
  <c r="V296" i="5"/>
  <c r="W296" i="5" s="1"/>
  <c r="X296" i="5" s="1"/>
  <c r="I161" i="6" s="1"/>
  <c r="Q290" i="5"/>
  <c r="R290" i="5" s="1"/>
  <c r="S290" i="5" s="1"/>
  <c r="H158" i="6" s="1"/>
  <c r="V290" i="5"/>
  <c r="W290" i="5" s="1"/>
  <c r="X290" i="5" s="1"/>
  <c r="I158" i="6" s="1"/>
  <c r="Q288" i="5"/>
  <c r="R288" i="5" s="1"/>
  <c r="V288" i="5"/>
  <c r="W288" i="5" s="1"/>
  <c r="Q264" i="5"/>
  <c r="R264" i="5" s="1"/>
  <c r="S264" i="5" s="1"/>
  <c r="H146" i="6" s="1"/>
  <c r="V266" i="5"/>
  <c r="W266" i="5" s="1"/>
  <c r="X266" i="5" s="1"/>
  <c r="I148" i="6" s="1"/>
  <c r="V264" i="5"/>
  <c r="W264" i="5" s="1"/>
  <c r="V265" i="5"/>
  <c r="W265" i="5" s="1"/>
  <c r="X265" i="5" s="1"/>
  <c r="I147" i="6" s="1"/>
  <c r="V249" i="5"/>
  <c r="W249" i="5" s="1"/>
  <c r="X249" i="5" s="1"/>
  <c r="I140" i="6" s="1"/>
  <c r="V272" i="5"/>
  <c r="W272" i="5" s="1"/>
  <c r="X272" i="5" s="1"/>
  <c r="I151" i="6" s="1"/>
  <c r="Q272" i="5"/>
  <c r="R272" i="5" s="1"/>
  <c r="S272" i="5" s="1"/>
  <c r="H151" i="6" s="1"/>
  <c r="Q266" i="5"/>
  <c r="R266" i="5" s="1"/>
  <c r="S266" i="5" s="1"/>
  <c r="H148" i="6" s="1"/>
  <c r="Q249" i="5"/>
  <c r="R249" i="5" s="1"/>
  <c r="S249" i="5" s="1"/>
  <c r="H140" i="6" s="1"/>
  <c r="V243" i="5"/>
  <c r="W243" i="5" s="1"/>
  <c r="X243" i="5" s="1"/>
  <c r="I137" i="6" s="1"/>
  <c r="Q242" i="5"/>
  <c r="R242" i="5" s="1"/>
  <c r="S242" i="5" s="1"/>
  <c r="H136" i="6" s="1"/>
  <c r="V241" i="5"/>
  <c r="W241" i="5" s="1"/>
  <c r="X241" i="5" s="1"/>
  <c r="I135" i="6" s="1"/>
  <c r="V242" i="5"/>
  <c r="W242" i="5" s="1"/>
  <c r="X242" i="5" s="1"/>
  <c r="I136" i="6" s="1"/>
  <c r="V218" i="5"/>
  <c r="W218" i="5" s="1"/>
  <c r="X218" i="5" s="1"/>
  <c r="I119" i="6" s="1"/>
  <c r="Q226" i="5"/>
  <c r="R226" i="5" s="1"/>
  <c r="S226" i="5" s="1"/>
  <c r="H124" i="6" s="1"/>
  <c r="Q219" i="5"/>
  <c r="R219" i="5" s="1"/>
  <c r="S219" i="5" s="1"/>
  <c r="H120" i="6" s="1"/>
  <c r="Q241" i="5"/>
  <c r="R241" i="5" s="1"/>
  <c r="V226" i="5"/>
  <c r="W226" i="5" s="1"/>
  <c r="X226" i="5" s="1"/>
  <c r="I124" i="6" s="1"/>
  <c r="Q217" i="5"/>
  <c r="R217" i="5" s="1"/>
  <c r="S217" i="5" s="1"/>
  <c r="H118" i="6" s="1"/>
  <c r="Q220" i="5"/>
  <c r="R220" i="5" s="1"/>
  <c r="S220" i="5" s="1"/>
  <c r="H121" i="6" s="1"/>
  <c r="V220" i="5"/>
  <c r="W220" i="5" s="1"/>
  <c r="X220" i="5" s="1"/>
  <c r="I121" i="6" s="1"/>
  <c r="V217" i="5"/>
  <c r="W217" i="5" s="1"/>
  <c r="Q218" i="5"/>
  <c r="R218" i="5" s="1"/>
  <c r="S218" i="5" s="1"/>
  <c r="H119" i="6" s="1"/>
  <c r="V219" i="5"/>
  <c r="W219" i="5" s="1"/>
  <c r="X219" i="5" s="1"/>
  <c r="I120" i="6" s="1"/>
  <c r="V194" i="5"/>
  <c r="W194" i="5" s="1"/>
  <c r="X194" i="5" s="1"/>
  <c r="I108" i="6" s="1"/>
  <c r="V170" i="5"/>
  <c r="W170" i="5" s="1"/>
  <c r="X170" i="5" s="1"/>
  <c r="I98" i="6" s="1"/>
  <c r="Q192" i="5"/>
  <c r="R192" i="5" s="1"/>
  <c r="S192" i="5" s="1"/>
  <c r="H106" i="6" s="1"/>
  <c r="Q200" i="5"/>
  <c r="R200" i="5" s="1"/>
  <c r="S200" i="5" s="1"/>
  <c r="H112" i="6" s="1"/>
  <c r="V193" i="5"/>
  <c r="W193" i="5" s="1"/>
  <c r="X193" i="5" s="1"/>
  <c r="I107" i="6" s="1"/>
  <c r="Q194" i="5"/>
  <c r="R194" i="5" s="1"/>
  <c r="S194" i="5" s="1"/>
  <c r="H108" i="6" s="1"/>
  <c r="Q162" i="5"/>
  <c r="R162" i="5" s="1"/>
  <c r="S162" i="5" s="1"/>
  <c r="H92" i="6" s="1"/>
  <c r="Q193" i="5"/>
  <c r="R193" i="5" s="1"/>
  <c r="S193" i="5" s="1"/>
  <c r="H107" i="6" s="1"/>
  <c r="V165" i="5"/>
  <c r="W165" i="5" s="1"/>
  <c r="X165" i="5" s="1"/>
  <c r="I95" i="6" s="1"/>
  <c r="Q164" i="5"/>
  <c r="R164" i="5" s="1"/>
  <c r="S164" i="5" s="1"/>
  <c r="H94" i="6" s="1"/>
  <c r="Q202" i="5"/>
  <c r="R202" i="5" s="1"/>
  <c r="S202" i="5" s="1"/>
  <c r="H114" i="6" s="1"/>
  <c r="V192" i="5"/>
  <c r="W192" i="5" s="1"/>
  <c r="V202" i="5"/>
  <c r="W202" i="5" s="1"/>
  <c r="X202" i="5" s="1"/>
  <c r="I114" i="6" s="1"/>
  <c r="Q195" i="5"/>
  <c r="R195" i="5" s="1"/>
  <c r="S195" i="5" s="1"/>
  <c r="H109" i="6" s="1"/>
  <c r="V200" i="5"/>
  <c r="W200" i="5" s="1"/>
  <c r="X200" i="5" s="1"/>
  <c r="I112" i="6" s="1"/>
  <c r="V195" i="5"/>
  <c r="W195" i="5" s="1"/>
  <c r="X195" i="5" s="1"/>
  <c r="I109" i="6" s="1"/>
  <c r="Q172" i="5"/>
  <c r="R172" i="5" s="1"/>
  <c r="S172" i="5" s="1"/>
  <c r="H100" i="6" s="1"/>
  <c r="V164" i="5"/>
  <c r="W164" i="5" s="1"/>
  <c r="X164" i="5" s="1"/>
  <c r="I94" i="6" s="1"/>
  <c r="Q170" i="5"/>
  <c r="R170" i="5" s="1"/>
  <c r="S170" i="5" s="1"/>
  <c r="H98" i="6" s="1"/>
  <c r="V172" i="5"/>
  <c r="W172" i="5" s="1"/>
  <c r="X172" i="5" s="1"/>
  <c r="I100" i="6" s="1"/>
  <c r="V163" i="5"/>
  <c r="W163" i="5" s="1"/>
  <c r="X163" i="5" s="1"/>
  <c r="I93" i="6" s="1"/>
  <c r="Q165" i="5"/>
  <c r="R165" i="5" s="1"/>
  <c r="S165" i="5" s="1"/>
  <c r="H95" i="6" s="1"/>
  <c r="V162" i="5"/>
  <c r="W162" i="5" s="1"/>
  <c r="Q163" i="5"/>
  <c r="R163" i="5" s="1"/>
  <c r="S163" i="5" s="1"/>
  <c r="H93" i="6" s="1"/>
  <c r="V139" i="5"/>
  <c r="W139" i="5" s="1"/>
  <c r="X139" i="5" s="1"/>
  <c r="I85" i="6" s="1"/>
  <c r="Q139" i="5"/>
  <c r="R139" i="5" s="1"/>
  <c r="S139" i="5" s="1"/>
  <c r="H85" i="6" s="1"/>
  <c r="V141" i="5"/>
  <c r="W141" i="5" s="1"/>
  <c r="X141" i="5" s="1"/>
  <c r="I87" i="6" s="1"/>
  <c r="Q141" i="5"/>
  <c r="R141" i="5" s="1"/>
  <c r="S141" i="5" s="1"/>
  <c r="H87" i="6" s="1"/>
  <c r="Q131" i="5"/>
  <c r="R131" i="5" s="1"/>
  <c r="S131" i="5" s="1"/>
  <c r="H79" i="6" s="1"/>
  <c r="V132" i="5"/>
  <c r="W132" i="5" s="1"/>
  <c r="X132" i="5" s="1"/>
  <c r="I80" i="6" s="1"/>
  <c r="V130" i="5"/>
  <c r="W130" i="5" s="1"/>
  <c r="V131" i="5"/>
  <c r="W131" i="5" s="1"/>
  <c r="X131" i="5" s="1"/>
  <c r="I79" i="6" s="1"/>
  <c r="Q130" i="5"/>
  <c r="R130" i="5" s="1"/>
  <c r="V133" i="5"/>
  <c r="W133" i="5" s="1"/>
  <c r="X133" i="5" s="1"/>
  <c r="I81" i="6" s="1"/>
  <c r="Q132" i="5"/>
  <c r="R132" i="5" s="1"/>
  <c r="S132" i="5" s="1"/>
  <c r="H80" i="6" s="1"/>
  <c r="Q134" i="5"/>
  <c r="R134" i="5" s="1"/>
  <c r="S134" i="5" s="1"/>
  <c r="H82" i="6" s="1"/>
  <c r="V134" i="5"/>
  <c r="W134" i="5" s="1"/>
  <c r="X134" i="5" s="1"/>
  <c r="I82" i="6" s="1"/>
  <c r="Q133" i="5"/>
  <c r="R133" i="5" s="1"/>
  <c r="S133" i="5" s="1"/>
  <c r="H81" i="6" s="1"/>
  <c r="W18" i="3"/>
  <c r="X18" i="3" s="1"/>
  <c r="Y18" i="3" s="1"/>
  <c r="AB19" i="3"/>
  <c r="AC19" i="3" s="1"/>
  <c r="AD19" i="3" s="1"/>
  <c r="W30" i="3"/>
  <c r="X30" i="3" s="1"/>
  <c r="Y30" i="3" s="1"/>
  <c r="W26" i="3"/>
  <c r="X26" i="3" s="1"/>
  <c r="Y26" i="3" s="1"/>
  <c r="W15" i="3"/>
  <c r="X15" i="3" s="1"/>
  <c r="Y15" i="3" s="1"/>
  <c r="W19" i="3"/>
  <c r="X19" i="3" s="1"/>
  <c r="Y19" i="3" s="1"/>
  <c r="W7" i="3"/>
  <c r="X7" i="3" s="1"/>
  <c r="Y7" i="3" s="1"/>
  <c r="AB14" i="3"/>
  <c r="AC14" i="3" s="1"/>
  <c r="AD14" i="3" s="1"/>
  <c r="W14" i="3"/>
  <c r="X14" i="3" s="1"/>
  <c r="Y14" i="3" s="1"/>
  <c r="AB35" i="3"/>
  <c r="AC35" i="3" s="1"/>
  <c r="AD35" i="3" s="1"/>
  <c r="AB26" i="3"/>
  <c r="AC26" i="3" s="1"/>
  <c r="AD26" i="3" s="1"/>
  <c r="W6" i="3"/>
  <c r="X6" i="3" s="1"/>
  <c r="Y6" i="3" s="1"/>
  <c r="W34" i="3"/>
  <c r="X34" i="3" s="1"/>
  <c r="Y34" i="3" s="1"/>
  <c r="AB34" i="3"/>
  <c r="AC34" i="3" s="1"/>
  <c r="AD34" i="3" s="1"/>
  <c r="AB24" i="3"/>
  <c r="AC24" i="3" s="1"/>
  <c r="AD24" i="3" s="1"/>
  <c r="W11" i="3"/>
  <c r="X11" i="3" s="1"/>
  <c r="Y11" i="3" s="1"/>
  <c r="AB22" i="3"/>
  <c r="AC22" i="3" s="1"/>
  <c r="AD22" i="3" s="1"/>
  <c r="AB39" i="3"/>
  <c r="AC39" i="3" s="1"/>
  <c r="AD39" i="3" s="1"/>
  <c r="W35" i="3"/>
  <c r="X35" i="3" s="1"/>
  <c r="Y35" i="3" s="1"/>
  <c r="AB28" i="3"/>
  <c r="AC28" i="3" s="1"/>
  <c r="AD28" i="3" s="1"/>
  <c r="AB7" i="3"/>
  <c r="AC7" i="3" s="1"/>
  <c r="AD7" i="3" s="1"/>
  <c r="AB11" i="3"/>
  <c r="AC11" i="3" s="1"/>
  <c r="AD11" i="3" s="1"/>
  <c r="AB15" i="3"/>
  <c r="AC15" i="3" s="1"/>
  <c r="AD15" i="3" s="1"/>
  <c r="AB27" i="3"/>
  <c r="AC27" i="3" s="1"/>
  <c r="AD27" i="3" s="1"/>
  <c r="AB32" i="3"/>
  <c r="AC32" i="3" s="1"/>
  <c r="AD32" i="3" s="1"/>
  <c r="AB36" i="3"/>
  <c r="AC36" i="3" s="1"/>
  <c r="AD36" i="3" s="1"/>
  <c r="W4" i="3"/>
  <c r="X4" i="3" s="1"/>
  <c r="Y4" i="3" s="1"/>
  <c r="W8" i="3"/>
  <c r="X8" i="3" s="1"/>
  <c r="Y8" i="3" s="1"/>
  <c r="W12" i="3"/>
  <c r="X12" i="3" s="1"/>
  <c r="Y12" i="3" s="1"/>
  <c r="W16" i="3"/>
  <c r="X16" i="3" s="1"/>
  <c r="Y16" i="3" s="1"/>
  <c r="W20" i="3"/>
  <c r="X20" i="3" s="1"/>
  <c r="Y20" i="3" s="1"/>
  <c r="W24" i="3"/>
  <c r="X24" i="3" s="1"/>
  <c r="Y24" i="3" s="1"/>
  <c r="W27" i="3"/>
  <c r="X27" i="3" s="1"/>
  <c r="Y27" i="3" s="1"/>
  <c r="AB4" i="3"/>
  <c r="AC4" i="3" s="1"/>
  <c r="AD4" i="3" s="1"/>
  <c r="AB6" i="3"/>
  <c r="AC6" i="3" s="1"/>
  <c r="AD6" i="3" s="1"/>
  <c r="AB8" i="3"/>
  <c r="AC8" i="3" s="1"/>
  <c r="AD8" i="3" s="1"/>
  <c r="AB10" i="3"/>
  <c r="AC10" i="3" s="1"/>
  <c r="AD10" i="3" s="1"/>
  <c r="AB20" i="3"/>
  <c r="AC20" i="3" s="1"/>
  <c r="AD20" i="3" s="1"/>
  <c r="AB31" i="3"/>
  <c r="AC31" i="3" s="1"/>
  <c r="AD31" i="3" s="1"/>
  <c r="AB30" i="3"/>
  <c r="AC30" i="3" s="1"/>
  <c r="AD30" i="3" s="1"/>
  <c r="W10" i="3"/>
  <c r="X10" i="3" s="1"/>
  <c r="Y10" i="3" s="1"/>
  <c r="W13" i="3"/>
  <c r="X13" i="3" s="1"/>
  <c r="Y13" i="3" s="1"/>
  <c r="W22" i="3"/>
  <c r="X22" i="3" s="1"/>
  <c r="Y22" i="3" s="1"/>
  <c r="W23" i="3"/>
  <c r="X23" i="3" s="1"/>
  <c r="Y23" i="3" s="1"/>
  <c r="W38" i="3"/>
  <c r="X38" i="3" s="1"/>
  <c r="Y38" i="3" s="1"/>
  <c r="AB18" i="3"/>
  <c r="AC18" i="3" s="1"/>
  <c r="AD18" i="3" s="1"/>
  <c r="AB23" i="3"/>
  <c r="AC23" i="3" s="1"/>
  <c r="AD23" i="3" s="1"/>
  <c r="W28" i="3"/>
  <c r="X28" i="3" s="1"/>
  <c r="Y28" i="3" s="1"/>
  <c r="W31" i="3"/>
  <c r="X31" i="3" s="1"/>
  <c r="Y31" i="3" s="1"/>
  <c r="W32" i="3"/>
  <c r="X32" i="3" s="1"/>
  <c r="Y32" i="3" s="1"/>
  <c r="AB12" i="3"/>
  <c r="AC12" i="3" s="1"/>
  <c r="AD12" i="3" s="1"/>
  <c r="AB16" i="3"/>
  <c r="AC16" i="3" s="1"/>
  <c r="AD16" i="3" s="1"/>
  <c r="AB13" i="3"/>
  <c r="AC13" i="3" s="1"/>
  <c r="AD13" i="3" s="1"/>
  <c r="AB29" i="3"/>
  <c r="AC29" i="3" s="1"/>
  <c r="AD29" i="3" s="1"/>
  <c r="AB37" i="3"/>
  <c r="AC37" i="3" s="1"/>
  <c r="AD37" i="3" s="1"/>
  <c r="W36" i="3"/>
  <c r="X36" i="3" s="1"/>
  <c r="Y36" i="3" s="1"/>
  <c r="W17" i="3"/>
  <c r="X17" i="3" s="1"/>
  <c r="Y17" i="3" s="1"/>
  <c r="W21" i="3"/>
  <c r="X21" i="3" s="1"/>
  <c r="Y21" i="3" s="1"/>
  <c r="W25" i="3"/>
  <c r="X25" i="3" s="1"/>
  <c r="Y25" i="3" s="1"/>
  <c r="W29" i="3"/>
  <c r="X29" i="3" s="1"/>
  <c r="Y29" i="3" s="1"/>
  <c r="W33" i="3"/>
  <c r="X33" i="3" s="1"/>
  <c r="Y33" i="3" s="1"/>
  <c r="W37" i="3"/>
  <c r="X37" i="3" s="1"/>
  <c r="Y37" i="3" s="1"/>
  <c r="AB5" i="3"/>
  <c r="AC5" i="3" s="1"/>
  <c r="AD5" i="3" s="1"/>
  <c r="AB17" i="3"/>
  <c r="AC17" i="3" s="1"/>
  <c r="AD17" i="3" s="1"/>
  <c r="AB25" i="3"/>
  <c r="AC25" i="3" s="1"/>
  <c r="AD25" i="3" s="1"/>
  <c r="W5" i="3"/>
  <c r="X5" i="3" s="1"/>
  <c r="Y5" i="3" s="1"/>
  <c r="W9" i="3"/>
  <c r="X9" i="3" s="1"/>
  <c r="Y9" i="3" s="1"/>
  <c r="AB9" i="3"/>
  <c r="AC9" i="3" s="1"/>
  <c r="AD9" i="3" s="1"/>
  <c r="AB21" i="3"/>
  <c r="AC21" i="3" s="1"/>
  <c r="AD21" i="3" s="1"/>
  <c r="AB33" i="3"/>
  <c r="AC33" i="3" s="1"/>
  <c r="AD33" i="3" s="1"/>
  <c r="G105" i="5"/>
  <c r="E105" i="5"/>
  <c r="F105" i="5"/>
  <c r="D105" i="5"/>
  <c r="F110" i="5"/>
  <c r="D110" i="5"/>
  <c r="G110" i="5"/>
  <c r="E110" i="5"/>
  <c r="G104" i="5"/>
  <c r="E104" i="5"/>
  <c r="D92" i="5" a="1"/>
  <c r="G91" i="5"/>
  <c r="B101" i="5"/>
  <c r="C65" i="6" s="1"/>
  <c r="D102" i="5"/>
  <c r="F102" i="5"/>
  <c r="G103" i="5"/>
  <c r="E103" i="5"/>
  <c r="F112" i="5"/>
  <c r="D112" i="5"/>
  <c r="D104" i="5"/>
  <c r="F104" i="5"/>
  <c r="G102" i="5"/>
  <c r="E102" i="5"/>
  <c r="D103" i="5"/>
  <c r="F103" i="5"/>
  <c r="G112" i="5"/>
  <c r="E112" i="5"/>
  <c r="K103" i="5" a="1"/>
  <c r="K110" i="5" a="1"/>
  <c r="J105" i="5" a="1"/>
  <c r="K101" i="5" a="1"/>
  <c r="J104" i="5" a="1"/>
  <c r="J103" i="5" a="1"/>
  <c r="S380" i="5" l="1"/>
  <c r="H192" i="6" s="1"/>
  <c r="X380" i="5"/>
  <c r="I192" i="6" s="1"/>
  <c r="W361" i="5"/>
  <c r="W360" i="5"/>
  <c r="R361" i="5"/>
  <c r="R360" i="5"/>
  <c r="X360" i="5"/>
  <c r="X361" i="5"/>
  <c r="S361" i="5"/>
  <c r="S360" i="5"/>
  <c r="W338" i="5"/>
  <c r="W339" i="5"/>
  <c r="X334" i="5"/>
  <c r="R338" i="5"/>
  <c r="R339" i="5"/>
  <c r="S334" i="5"/>
  <c r="H179" i="6" s="1"/>
  <c r="W315" i="5"/>
  <c r="W316" i="5"/>
  <c r="X311" i="5"/>
  <c r="I166" i="6" s="1"/>
  <c r="S316" i="5"/>
  <c r="S315" i="5"/>
  <c r="R315" i="5"/>
  <c r="R316" i="5"/>
  <c r="W293" i="5"/>
  <c r="W292" i="5"/>
  <c r="X288" i="5"/>
  <c r="I156" i="6" s="1"/>
  <c r="R293" i="5"/>
  <c r="R292" i="5"/>
  <c r="S288" i="5"/>
  <c r="H156" i="6" s="1"/>
  <c r="W268" i="5"/>
  <c r="W269" i="5"/>
  <c r="X264" i="5"/>
  <c r="I146" i="6" s="1"/>
  <c r="S268" i="5"/>
  <c r="S269" i="5"/>
  <c r="R268" i="5"/>
  <c r="R269" i="5"/>
  <c r="X245" i="5"/>
  <c r="X246" i="5"/>
  <c r="W245" i="5"/>
  <c r="W246" i="5"/>
  <c r="R246" i="5"/>
  <c r="R245" i="5"/>
  <c r="S241" i="5"/>
  <c r="H135" i="6" s="1"/>
  <c r="X217" i="5"/>
  <c r="I118" i="6" s="1"/>
  <c r="W222" i="5"/>
  <c r="W223" i="5"/>
  <c r="R222" i="5"/>
  <c r="R223" i="5"/>
  <c r="S222" i="5"/>
  <c r="S223" i="5"/>
  <c r="D92" i="5"/>
  <c r="H103" i="5"/>
  <c r="S197" i="5"/>
  <c r="S198" i="5"/>
  <c r="W197" i="5"/>
  <c r="W198" i="5"/>
  <c r="X192" i="5"/>
  <c r="I106" i="6" s="1"/>
  <c r="R198" i="5"/>
  <c r="R197" i="5"/>
  <c r="R167" i="5"/>
  <c r="S168" i="5"/>
  <c r="S167" i="5"/>
  <c r="W167" i="5"/>
  <c r="W168" i="5"/>
  <c r="X162" i="5"/>
  <c r="I92" i="6" s="1"/>
  <c r="R168" i="5"/>
  <c r="S130" i="5"/>
  <c r="H78" i="6" s="1"/>
  <c r="R136" i="5"/>
  <c r="R137" i="5"/>
  <c r="X130" i="5"/>
  <c r="I78" i="6" s="1"/>
  <c r="W137" i="5"/>
  <c r="W136" i="5"/>
  <c r="H22" i="4" a="1"/>
  <c r="H22" i="4" s="1"/>
  <c r="H31" i="4" s="1"/>
  <c r="H46" i="4" a="1"/>
  <c r="H46" i="4" s="1"/>
  <c r="H105" i="5"/>
  <c r="H11" i="4" a="1"/>
  <c r="H11" i="4" s="1"/>
  <c r="H19" i="4" s="1"/>
  <c r="G46" i="4" a="1"/>
  <c r="G46" i="4" s="1"/>
  <c r="G22" i="4" a="1"/>
  <c r="G22" i="4" s="1"/>
  <c r="G31" i="4" s="1"/>
  <c r="G35" i="4" a="1"/>
  <c r="G35" i="4" s="1"/>
  <c r="G42" i="4" s="1"/>
  <c r="G11" i="4" a="1"/>
  <c r="G11" i="4" s="1"/>
  <c r="G18" i="4" s="1"/>
  <c r="H35" i="4" a="1"/>
  <c r="H35" i="4" s="1"/>
  <c r="H42" i="4" s="1"/>
  <c r="H53" i="4" a="1"/>
  <c r="H53" i="4" s="1"/>
  <c r="G53" i="4" a="1"/>
  <c r="G53" i="4" s="1"/>
  <c r="H104" i="5"/>
  <c r="H110" i="5"/>
  <c r="H112" i="5"/>
  <c r="H102" i="5"/>
  <c r="F101" i="5"/>
  <c r="H101" i="5" s="1"/>
  <c r="D101" i="5"/>
  <c r="J101" i="5" a="1"/>
  <c r="J102" i="5" a="1"/>
  <c r="K105" i="5" a="1"/>
  <c r="E94" i="5" a="1"/>
  <c r="E97" i="5" a="1"/>
  <c r="K102" i="5" a="1"/>
  <c r="J110" i="5" a="1"/>
  <c r="E96" i="5" a="1"/>
  <c r="E93" i="5" a="1"/>
  <c r="E95" i="5" a="1"/>
  <c r="E92" i="5" a="1"/>
  <c r="K104" i="5" a="1"/>
  <c r="K112" i="5" a="1"/>
  <c r="J112" i="5" a="1"/>
  <c r="J103" i="5"/>
  <c r="J104" i="5"/>
  <c r="K110" i="5"/>
  <c r="J105" i="5"/>
  <c r="K101" i="5"/>
  <c r="K103" i="5"/>
  <c r="F65" i="6" l="1"/>
  <c r="E69" i="6"/>
  <c r="E68" i="6"/>
  <c r="F72" i="6"/>
  <c r="F67" i="6"/>
  <c r="E67" i="6"/>
  <c r="X338" i="5"/>
  <c r="I179" i="6"/>
  <c r="V101" i="5"/>
  <c r="W101" i="5" s="1"/>
  <c r="Q101" i="5"/>
  <c r="R101" i="5" s="1"/>
  <c r="X339" i="5"/>
  <c r="S339" i="5"/>
  <c r="S338" i="5"/>
  <c r="X315" i="5"/>
  <c r="X316" i="5"/>
  <c r="S292" i="5"/>
  <c r="S293" i="5"/>
  <c r="X292" i="5"/>
  <c r="X293" i="5"/>
  <c r="X268" i="5"/>
  <c r="X269" i="5"/>
  <c r="S246" i="5"/>
  <c r="S245" i="5"/>
  <c r="X222" i="5"/>
  <c r="X223" i="5"/>
  <c r="X197" i="5"/>
  <c r="X198" i="5"/>
  <c r="X167" i="5"/>
  <c r="X168" i="5"/>
  <c r="X137" i="5"/>
  <c r="X136" i="5"/>
  <c r="S137" i="5"/>
  <c r="S136" i="5"/>
  <c r="H32" i="4"/>
  <c r="V110" i="5"/>
  <c r="W110" i="5" s="1"/>
  <c r="G32" i="4"/>
  <c r="H18" i="4"/>
  <c r="H43" i="4"/>
  <c r="G43" i="4"/>
  <c r="G19" i="4"/>
  <c r="Q105" i="5"/>
  <c r="R105" i="5" s="1"/>
  <c r="Q104" i="5"/>
  <c r="R104" i="5" s="1"/>
  <c r="Q103" i="5"/>
  <c r="R103" i="5" s="1"/>
  <c r="V102" i="5"/>
  <c r="W102" i="5" s="1"/>
  <c r="Q112" i="5"/>
  <c r="R112" i="5" s="1"/>
  <c r="V105" i="5"/>
  <c r="W105" i="5" s="1"/>
  <c r="L103" i="5"/>
  <c r="M103" i="5" s="1"/>
  <c r="G67" i="6" s="1"/>
  <c r="V104" i="5"/>
  <c r="W104" i="5" s="1"/>
  <c r="Q102" i="5"/>
  <c r="R102" i="5" s="1"/>
  <c r="V103" i="5"/>
  <c r="W103" i="5" s="1"/>
  <c r="Q110" i="5"/>
  <c r="R110" i="5" s="1"/>
  <c r="H107" i="5"/>
  <c r="H108" i="5"/>
  <c r="V112" i="5"/>
  <c r="W112" i="5" s="1"/>
  <c r="E93" i="5"/>
  <c r="E96" i="5"/>
  <c r="J110" i="5"/>
  <c r="E94" i="5"/>
  <c r="K105" i="5"/>
  <c r="J112" i="5"/>
  <c r="K102" i="5"/>
  <c r="K112" i="5"/>
  <c r="E97" i="5"/>
  <c r="E95" i="5"/>
  <c r="J102" i="5"/>
  <c r="E92" i="5"/>
  <c r="K104" i="5"/>
  <c r="J101" i="5"/>
  <c r="F74" i="6" l="1"/>
  <c r="E66" i="6"/>
  <c r="F66" i="6"/>
  <c r="E74" i="6"/>
  <c r="F69" i="6"/>
  <c r="L105" i="5"/>
  <c r="M105" i="5" s="1"/>
  <c r="G69" i="6" s="1"/>
  <c r="L104" i="5"/>
  <c r="M104" i="5" s="1"/>
  <c r="G68" i="6" s="1"/>
  <c r="F68" i="6"/>
  <c r="L101" i="5"/>
  <c r="M101" i="5" s="1"/>
  <c r="G65" i="6" s="1"/>
  <c r="E65" i="6"/>
  <c r="L110" i="5"/>
  <c r="M110" i="5" s="1"/>
  <c r="G72" i="6" s="1"/>
  <c r="E72" i="6"/>
  <c r="L102" i="5"/>
  <c r="M102" i="5" s="1"/>
  <c r="L112" i="5"/>
  <c r="M112" i="5" s="1"/>
  <c r="X103" i="5"/>
  <c r="I67" i="6" s="1"/>
  <c r="S103" i="5"/>
  <c r="H67" i="6" s="1"/>
  <c r="R107" i="5"/>
  <c r="R108" i="5"/>
  <c r="W108" i="5"/>
  <c r="W107" i="5"/>
  <c r="S105" i="5" l="1"/>
  <c r="H69" i="6" s="1"/>
  <c r="X105" i="5"/>
  <c r="I69" i="6" s="1"/>
  <c r="S101" i="5"/>
  <c r="H65" i="6" s="1"/>
  <c r="X104" i="5"/>
  <c r="I68" i="6" s="1"/>
  <c r="S104" i="5"/>
  <c r="H68" i="6" s="1"/>
  <c r="S112" i="5"/>
  <c r="H74" i="6" s="1"/>
  <c r="G74" i="6"/>
  <c r="S102" i="5"/>
  <c r="H66" i="6" s="1"/>
  <c r="G66" i="6"/>
  <c r="S110" i="5"/>
  <c r="H72" i="6" s="1"/>
  <c r="X110" i="5"/>
  <c r="I72" i="6" s="1"/>
  <c r="X101" i="5"/>
  <c r="I65" i="6" s="1"/>
  <c r="M108" i="5"/>
  <c r="M107" i="5"/>
  <c r="X102" i="5"/>
  <c r="X112" i="5"/>
  <c r="I74" i="6" s="1"/>
  <c r="T61" i="5"/>
  <c r="O61" i="5"/>
  <c r="T68" i="5" a="1"/>
  <c r="U67" i="5" a="1"/>
  <c r="T67" i="5" a="1"/>
  <c r="U66" i="5" a="1"/>
  <c r="T69" i="5" a="1"/>
  <c r="U68" i="5" a="1"/>
  <c r="T66" i="5" a="1"/>
  <c r="U65" i="5" a="1"/>
  <c r="T70" i="5" a="1"/>
  <c r="U69" i="5" a="1"/>
  <c r="U70" i="5" a="1"/>
  <c r="T64" i="5" a="1"/>
  <c r="T65" i="5" a="1"/>
  <c r="U64" i="5" a="1"/>
  <c r="O67" i="5" a="1"/>
  <c r="P66" i="5" a="1"/>
  <c r="O70" i="5" a="1"/>
  <c r="P69" i="5" a="1"/>
  <c r="O69" i="5" a="1"/>
  <c r="P68" i="5" a="1"/>
  <c r="O68" i="5" a="1"/>
  <c r="P67" i="5" a="1"/>
  <c r="O66" i="5" a="1"/>
  <c r="P65" i="5" a="1"/>
  <c r="O64" i="5" a="1"/>
  <c r="P70" i="5" a="1"/>
  <c r="O65" i="5" a="1"/>
  <c r="P64" i="5" a="1"/>
  <c r="P64" i="5" l="1"/>
  <c r="O65" i="5"/>
  <c r="P70" i="5"/>
  <c r="O64" i="5"/>
  <c r="P65" i="5"/>
  <c r="O66" i="5"/>
  <c r="P67" i="5"/>
  <c r="O68" i="5"/>
  <c r="P68" i="5"/>
  <c r="O69" i="5"/>
  <c r="P69" i="5"/>
  <c r="O70" i="5"/>
  <c r="P66" i="5"/>
  <c r="O67" i="5"/>
  <c r="U64" i="5"/>
  <c r="T65" i="5"/>
  <c r="T64" i="5"/>
  <c r="U70" i="5"/>
  <c r="U69" i="5"/>
  <c r="T70" i="5"/>
  <c r="U65" i="5"/>
  <c r="T66" i="5"/>
  <c r="U68" i="5"/>
  <c r="T69" i="5"/>
  <c r="U66" i="5"/>
  <c r="T67" i="5"/>
  <c r="U67" i="5"/>
  <c r="T68" i="5"/>
  <c r="S107" i="5"/>
  <c r="S108" i="5"/>
  <c r="X107" i="5"/>
  <c r="I66" i="6"/>
  <c r="X108" i="5"/>
  <c r="B78" i="5"/>
  <c r="C60" i="6" s="1"/>
  <c r="C78" i="5"/>
  <c r="D60" i="6" s="1"/>
  <c r="C76" i="5"/>
  <c r="D58" i="6" s="1"/>
  <c r="B76" i="5"/>
  <c r="C58" i="6" s="1"/>
  <c r="C75" i="5"/>
  <c r="D57" i="6" s="1"/>
  <c r="B75" i="5"/>
  <c r="C57" i="6" s="1"/>
  <c r="C70" i="5"/>
  <c r="D54" i="6" s="1"/>
  <c r="B70" i="5"/>
  <c r="C54" i="6" s="1"/>
  <c r="C69" i="5"/>
  <c r="D53" i="6" s="1"/>
  <c r="B69" i="5"/>
  <c r="C53" i="6" s="1"/>
  <c r="C68" i="5"/>
  <c r="D52" i="6" s="1"/>
  <c r="B68" i="5"/>
  <c r="C52" i="6" s="1"/>
  <c r="B67" i="5"/>
  <c r="C51" i="6" s="1"/>
  <c r="C67" i="5"/>
  <c r="D51" i="6" s="1"/>
  <c r="B66" i="5"/>
  <c r="C50" i="6" s="1"/>
  <c r="C66" i="5"/>
  <c r="D50" i="6" s="1"/>
  <c r="C65" i="5"/>
  <c r="D49" i="6" s="1"/>
  <c r="B65" i="5"/>
  <c r="C49" i="6" s="1"/>
  <c r="C64" i="5"/>
  <c r="D48" i="6" s="1"/>
  <c r="G66" i="5" l="1"/>
  <c r="E66" i="5"/>
  <c r="F70" i="5"/>
  <c r="D70" i="5"/>
  <c r="D66" i="5"/>
  <c r="F66" i="5"/>
  <c r="G70" i="5"/>
  <c r="E70" i="5"/>
  <c r="G67" i="5"/>
  <c r="E67" i="5"/>
  <c r="F76" i="5"/>
  <c r="D76" i="5"/>
  <c r="F75" i="5"/>
  <c r="D75" i="5"/>
  <c r="F67" i="5"/>
  <c r="D67" i="5"/>
  <c r="G75" i="5"/>
  <c r="E75" i="5"/>
  <c r="G64" i="5"/>
  <c r="E64" i="5"/>
  <c r="F68" i="5"/>
  <c r="D68" i="5"/>
  <c r="D52" i="5" a="1"/>
  <c r="G51" i="5"/>
  <c r="B64" i="5"/>
  <c r="C48" i="6" s="1"/>
  <c r="G68" i="5"/>
  <c r="E68" i="5"/>
  <c r="G76" i="5"/>
  <c r="E76" i="5"/>
  <c r="D65" i="5"/>
  <c r="F65" i="5"/>
  <c r="G78" i="5"/>
  <c r="E78" i="5"/>
  <c r="F69" i="5"/>
  <c r="D69" i="5"/>
  <c r="E65" i="5"/>
  <c r="G65" i="5"/>
  <c r="G69" i="5"/>
  <c r="E69" i="5"/>
  <c r="F78" i="5"/>
  <c r="D78" i="5"/>
  <c r="J66" i="5" a="1"/>
  <c r="J65" i="5" a="1"/>
  <c r="Y66" i="5" a="1"/>
  <c r="K68" i="5" a="1"/>
  <c r="J75" i="5" a="1"/>
  <c r="Y68" i="5" a="1"/>
  <c r="K76" i="5" a="1"/>
  <c r="K64" i="5" a="1"/>
  <c r="J68" i="5" a="1"/>
  <c r="K66" i="5" a="1"/>
  <c r="Y65" i="5" a="1"/>
  <c r="J69" i="5" a="1"/>
  <c r="J70" i="5" a="1"/>
  <c r="Y67" i="5" a="1"/>
  <c r="Y70" i="5" a="1"/>
  <c r="Y69" i="5" a="1"/>
  <c r="K65" i="5" a="1"/>
  <c r="J78" i="5" a="1"/>
  <c r="K75" i="5" a="1"/>
  <c r="J76" i="5" a="1"/>
  <c r="K78" i="5" a="1"/>
  <c r="K67" i="5" a="1"/>
  <c r="H65" i="5" l="1"/>
  <c r="D52" i="5"/>
  <c r="H78" i="5"/>
  <c r="H67" i="5"/>
  <c r="H66" i="5"/>
  <c r="H70" i="5"/>
  <c r="H68" i="5"/>
  <c r="H75" i="5"/>
  <c r="H76" i="5"/>
  <c r="H69" i="5"/>
  <c r="F64" i="5"/>
  <c r="H64" i="5" s="1"/>
  <c r="D64" i="5"/>
  <c r="E54" i="5" a="1"/>
  <c r="E55" i="5" a="1"/>
  <c r="E53" i="5" a="1"/>
  <c r="E56" i="5" a="1"/>
  <c r="E58" i="5" a="1"/>
  <c r="Y64" i="5" a="1"/>
  <c r="J67" i="5" a="1"/>
  <c r="E59" i="5" a="1"/>
  <c r="K69" i="5" a="1"/>
  <c r="K70" i="5" a="1"/>
  <c r="E57" i="5" a="1"/>
  <c r="E52" i="5" a="1"/>
  <c r="Y67" i="5"/>
  <c r="Y68" i="5"/>
  <c r="J69" i="5"/>
  <c r="J66" i="5"/>
  <c r="K66" i="5"/>
  <c r="K75" i="5"/>
  <c r="J68" i="5"/>
  <c r="Y70" i="5"/>
  <c r="J65" i="5"/>
  <c r="Y65" i="5"/>
  <c r="K67" i="5"/>
  <c r="J70" i="5"/>
  <c r="Y69" i="5"/>
  <c r="J78" i="5"/>
  <c r="K76" i="5"/>
  <c r="J76" i="5"/>
  <c r="Y66" i="5"/>
  <c r="J75" i="5"/>
  <c r="K68" i="5"/>
  <c r="K65" i="5"/>
  <c r="K78" i="5"/>
  <c r="K64" i="5"/>
  <c r="E53" i="6" l="1"/>
  <c r="F58" i="6"/>
  <c r="E58" i="6"/>
  <c r="F52" i="6"/>
  <c r="F60" i="6"/>
  <c r="E57" i="6"/>
  <c r="F50" i="6"/>
  <c r="F48" i="6"/>
  <c r="E50" i="6"/>
  <c r="E52" i="6"/>
  <c r="E54" i="6"/>
  <c r="F51" i="6"/>
  <c r="F49" i="6"/>
  <c r="E60" i="6"/>
  <c r="F57" i="6"/>
  <c r="E49" i="6"/>
  <c r="V64" i="5"/>
  <c r="W64" i="5" s="1"/>
  <c r="Q64" i="5"/>
  <c r="R64" i="5" s="1"/>
  <c r="L66" i="5"/>
  <c r="M66" i="5" s="1"/>
  <c r="G50" i="6" s="1"/>
  <c r="L68" i="5"/>
  <c r="M68" i="5" s="1"/>
  <c r="G52" i="6" s="1"/>
  <c r="L78" i="5"/>
  <c r="M78" i="5" s="1"/>
  <c r="G60" i="6" s="1"/>
  <c r="Q68" i="5"/>
  <c r="R68" i="5" s="1"/>
  <c r="Q69" i="5"/>
  <c r="R69" i="5" s="1"/>
  <c r="V67" i="5"/>
  <c r="W67" i="5" s="1"/>
  <c r="Q70" i="5"/>
  <c r="R70" i="5" s="1"/>
  <c r="Q66" i="5"/>
  <c r="R66" i="5" s="1"/>
  <c r="V69" i="5"/>
  <c r="W69" i="5" s="1"/>
  <c r="L75" i="5"/>
  <c r="M75" i="5" s="1"/>
  <c r="G57" i="6" s="1"/>
  <c r="V68" i="5"/>
  <c r="W68" i="5" s="1"/>
  <c r="L65" i="5"/>
  <c r="M65" i="5" s="1"/>
  <c r="G49" i="6" s="1"/>
  <c r="V70" i="5"/>
  <c r="W70" i="5" s="1"/>
  <c r="V66" i="5"/>
  <c r="W66" i="5" s="1"/>
  <c r="Q65" i="5"/>
  <c r="R65" i="5" s="1"/>
  <c r="Q67" i="5"/>
  <c r="R67" i="5" s="1"/>
  <c r="V65" i="5"/>
  <c r="W65" i="5" s="1"/>
  <c r="H72" i="5"/>
  <c r="H73" i="5"/>
  <c r="L76" i="5"/>
  <c r="M76" i="5" s="1"/>
  <c r="G58" i="6" s="1"/>
  <c r="J64" i="5" a="1"/>
  <c r="E54" i="5"/>
  <c r="E59" i="5"/>
  <c r="K70" i="5"/>
  <c r="E58" i="5"/>
  <c r="E57" i="5"/>
  <c r="E52" i="5"/>
  <c r="K69" i="5"/>
  <c r="E56" i="5"/>
  <c r="E53" i="5"/>
  <c r="E55" i="5"/>
  <c r="Y64" i="5"/>
  <c r="J67" i="5"/>
  <c r="E51" i="6" l="1"/>
  <c r="L67" i="5"/>
  <c r="M67" i="5" s="1"/>
  <c r="G51" i="6" s="1"/>
  <c r="L70" i="5"/>
  <c r="M70" i="5" s="1"/>
  <c r="G54" i="6" s="1"/>
  <c r="F54" i="6"/>
  <c r="L69" i="5"/>
  <c r="M69" i="5" s="1"/>
  <c r="G53" i="6" s="1"/>
  <c r="F53" i="6"/>
  <c r="X66" i="5"/>
  <c r="I50" i="6" s="1"/>
  <c r="S66" i="5"/>
  <c r="H50" i="6" s="1"/>
  <c r="W73" i="5"/>
  <c r="W72" i="5"/>
  <c r="X68" i="5"/>
  <c r="I52" i="6" s="1"/>
  <c r="S68" i="5"/>
  <c r="H52" i="6" s="1"/>
  <c r="R73" i="5"/>
  <c r="R72" i="5"/>
  <c r="X65" i="5"/>
  <c r="I49" i="6" s="1"/>
  <c r="S65" i="5"/>
  <c r="H49" i="6" s="1"/>
  <c r="J64" i="5"/>
  <c r="X67" i="5" l="1"/>
  <c r="I51" i="6" s="1"/>
  <c r="S67" i="5"/>
  <c r="H51" i="6" s="1"/>
  <c r="S70" i="5"/>
  <c r="H54" i="6" s="1"/>
  <c r="X69" i="5"/>
  <c r="I53" i="6" s="1"/>
  <c r="X70" i="5"/>
  <c r="I54" i="6" s="1"/>
  <c r="S69" i="5"/>
  <c r="H53" i="6" s="1"/>
  <c r="L64" i="5"/>
  <c r="M64" i="5" s="1"/>
  <c r="M72" i="5" s="1"/>
  <c r="E48" i="6"/>
  <c r="T17" i="5"/>
  <c r="T78" i="5" a="1"/>
  <c r="U75" i="5" a="1"/>
  <c r="T76" i="5" a="1"/>
  <c r="U76" i="5" a="1"/>
  <c r="U78" i="5" a="1"/>
  <c r="T24" i="5" a="1"/>
  <c r="U23" i="5" a="1"/>
  <c r="T75" i="5" a="1"/>
  <c r="T23" i="5" a="1"/>
  <c r="T41" i="5" a="1"/>
  <c r="U22" i="5" a="1"/>
  <c r="T27" i="5" a="1"/>
  <c r="T43" i="5" a="1"/>
  <c r="U26" i="5" a="1"/>
  <c r="T28" i="5" a="1"/>
  <c r="U27" i="5" a="1"/>
  <c r="T21" i="5" a="1"/>
  <c r="T22" i="5" a="1"/>
  <c r="T40" i="5" a="1"/>
  <c r="U21" i="5" a="1"/>
  <c r="T26" i="5" a="1"/>
  <c r="U25" i="5" a="1"/>
  <c r="T25" i="5" a="1"/>
  <c r="U24" i="5" a="1"/>
  <c r="T29" i="5" a="1"/>
  <c r="U28" i="5" a="1"/>
  <c r="U40" i="5" a="1"/>
  <c r="U30" i="5" a="1"/>
  <c r="U43" i="5" a="1"/>
  <c r="T30" i="5" a="1"/>
  <c r="U29" i="5" a="1"/>
  <c r="U41" i="5" a="1"/>
  <c r="O40" i="5" a="1"/>
  <c r="P25" i="5" a="1"/>
  <c r="P21" i="5" a="1"/>
  <c r="P23" i="5" a="1"/>
  <c r="P24" i="5" a="1"/>
  <c r="O41" i="5" a="1"/>
  <c r="P22" i="5" a="1"/>
  <c r="U41" i="5" l="1"/>
  <c r="U29" i="5"/>
  <c r="T30" i="5"/>
  <c r="U43" i="5"/>
  <c r="U30" i="5"/>
  <c r="U40" i="5"/>
  <c r="U28" i="5"/>
  <c r="T29" i="5"/>
  <c r="U24" i="5"/>
  <c r="T25" i="5"/>
  <c r="U25" i="5"/>
  <c r="T26" i="5"/>
  <c r="U21" i="5"/>
  <c r="T40" i="5"/>
  <c r="T22" i="5"/>
  <c r="T21" i="5"/>
  <c r="U27" i="5"/>
  <c r="T28" i="5"/>
  <c r="U26" i="5"/>
  <c r="T43" i="5"/>
  <c r="T27" i="5"/>
  <c r="U22" i="5"/>
  <c r="T41" i="5"/>
  <c r="T23" i="5"/>
  <c r="T75" i="5"/>
  <c r="U23" i="5"/>
  <c r="T24" i="5"/>
  <c r="U78" i="5"/>
  <c r="U76" i="5"/>
  <c r="T76" i="5"/>
  <c r="U75" i="5"/>
  <c r="T78" i="5"/>
  <c r="P24" i="5"/>
  <c r="P22" i="5"/>
  <c r="O41" i="5"/>
  <c r="P25" i="5"/>
  <c r="P23" i="5"/>
  <c r="P21" i="5"/>
  <c r="O40" i="5"/>
  <c r="M73" i="5"/>
  <c r="X64" i="5"/>
  <c r="X73" i="5" s="1"/>
  <c r="S64" i="5"/>
  <c r="G48" i="6"/>
  <c r="B43" i="5"/>
  <c r="C43" i="6" s="1"/>
  <c r="C43" i="5"/>
  <c r="D43" i="6" s="1"/>
  <c r="B41" i="5"/>
  <c r="C41" i="6" s="1"/>
  <c r="C41" i="5"/>
  <c r="D41" i="6" s="1"/>
  <c r="B40" i="5"/>
  <c r="C40" i="6" s="1"/>
  <c r="C40" i="5"/>
  <c r="D40" i="6" s="1"/>
  <c r="B30" i="5"/>
  <c r="C37" i="6" s="1"/>
  <c r="C30" i="5"/>
  <c r="D37" i="6" s="1"/>
  <c r="C29" i="5"/>
  <c r="D36" i="6" s="1"/>
  <c r="B29" i="5"/>
  <c r="C36" i="6" s="1"/>
  <c r="C28" i="5"/>
  <c r="D35" i="6" s="1"/>
  <c r="B28" i="5"/>
  <c r="C35" i="6" s="1"/>
  <c r="C27" i="5"/>
  <c r="D34" i="6" s="1"/>
  <c r="B27" i="5"/>
  <c r="C34" i="6" s="1"/>
  <c r="C26" i="5"/>
  <c r="D33" i="6" s="1"/>
  <c r="B26" i="5"/>
  <c r="C33" i="6" s="1"/>
  <c r="B25" i="5"/>
  <c r="C32" i="6" s="1"/>
  <c r="C25" i="5"/>
  <c r="D32" i="6" s="1"/>
  <c r="B24" i="5"/>
  <c r="C31" i="6" s="1"/>
  <c r="C24" i="5"/>
  <c r="D31" i="6" s="1"/>
  <c r="B23" i="5"/>
  <c r="C30" i="6" s="1"/>
  <c r="C23" i="5"/>
  <c r="D30" i="6" s="1"/>
  <c r="B22" i="5"/>
  <c r="C29" i="6" s="1"/>
  <c r="C22" i="5"/>
  <c r="D29" i="6" s="1"/>
  <c r="C21" i="5"/>
  <c r="D28" i="6" s="1"/>
  <c r="I48" i="6" l="1"/>
  <c r="X72" i="5"/>
  <c r="H48" i="6"/>
  <c r="S72" i="5"/>
  <c r="S73" i="5"/>
  <c r="V75" i="5"/>
  <c r="W75" i="5" s="1"/>
  <c r="X75" i="5" s="1"/>
  <c r="I57" i="6" s="1"/>
  <c r="Q76" i="5"/>
  <c r="R76" i="5" s="1"/>
  <c r="S76" i="5" s="1"/>
  <c r="H58" i="6" s="1"/>
  <c r="V78" i="5"/>
  <c r="W78" i="5" s="1"/>
  <c r="X78" i="5" s="1"/>
  <c r="I60" i="6" s="1"/>
  <c r="V76" i="5"/>
  <c r="W76" i="5" s="1"/>
  <c r="X76" i="5" s="1"/>
  <c r="I58" i="6" s="1"/>
  <c r="G27" i="5"/>
  <c r="E27" i="5"/>
  <c r="F28" i="5"/>
  <c r="D28" i="5"/>
  <c r="G41" i="5"/>
  <c r="E41" i="5"/>
  <c r="D24" i="5"/>
  <c r="F24" i="5"/>
  <c r="G28" i="5"/>
  <c r="E28" i="5"/>
  <c r="D41" i="5"/>
  <c r="F41" i="5"/>
  <c r="Q78" i="5"/>
  <c r="R78" i="5" s="1"/>
  <c r="S78" i="5" s="1"/>
  <c r="H60" i="6" s="1"/>
  <c r="F23" i="5"/>
  <c r="D23" i="5"/>
  <c r="F40" i="5"/>
  <c r="D40" i="5"/>
  <c r="D4" i="5" a="1"/>
  <c r="B21" i="5"/>
  <c r="C28" i="6" s="1"/>
  <c r="F29" i="5"/>
  <c r="D29" i="5"/>
  <c r="G21" i="5"/>
  <c r="E21" i="5"/>
  <c r="D25" i="5"/>
  <c r="F25" i="5"/>
  <c r="G29" i="5"/>
  <c r="E29" i="5"/>
  <c r="F43" i="5"/>
  <c r="D43" i="5"/>
  <c r="F22" i="5"/>
  <c r="D22" i="5"/>
  <c r="G26" i="5"/>
  <c r="E26" i="5"/>
  <c r="F30" i="5"/>
  <c r="D30" i="5"/>
  <c r="E24" i="5"/>
  <c r="G24" i="5"/>
  <c r="E25" i="5"/>
  <c r="G25" i="5"/>
  <c r="G43" i="5"/>
  <c r="E43" i="5"/>
  <c r="G22" i="5"/>
  <c r="E22" i="5"/>
  <c r="F26" i="5"/>
  <c r="D26" i="5"/>
  <c r="E30" i="5"/>
  <c r="G30" i="5"/>
  <c r="G23" i="5"/>
  <c r="E23" i="5"/>
  <c r="D27" i="5"/>
  <c r="F27" i="5"/>
  <c r="G40" i="5"/>
  <c r="E40" i="5"/>
  <c r="Q75" i="5"/>
  <c r="R75" i="5" s="1"/>
  <c r="S75" i="5" s="1"/>
  <c r="H57" i="6" s="1"/>
  <c r="K30" i="5" a="1"/>
  <c r="E6" i="5" a="1"/>
  <c r="E5" i="5" a="1"/>
  <c r="J43" i="5" a="1"/>
  <c r="Y30" i="5" a="1"/>
  <c r="E8" i="5" a="1"/>
  <c r="Y23" i="5" a="1"/>
  <c r="J30" i="5" a="1"/>
  <c r="J27" i="5" a="1"/>
  <c r="E11" i="5" a="1"/>
  <c r="K25" i="5" a="1"/>
  <c r="J23" i="5" a="1"/>
  <c r="Y24" i="5" a="1"/>
  <c r="J28" i="5" a="1"/>
  <c r="J40" i="5" a="1"/>
  <c r="K43" i="5" a="1"/>
  <c r="K26" i="5" a="1"/>
  <c r="Y28" i="5" a="1"/>
  <c r="K41" i="5" a="1"/>
  <c r="E10" i="5" a="1"/>
  <c r="E14" i="5" a="1"/>
  <c r="Y29" i="5" a="1"/>
  <c r="E12" i="5" a="1"/>
  <c r="K29" i="5" a="1"/>
  <c r="J25" i="5" a="1"/>
  <c r="Y22" i="5" a="1"/>
  <c r="E9" i="5" a="1"/>
  <c r="E7" i="5" a="1"/>
  <c r="J41" i="5" a="1"/>
  <c r="K27" i="5" a="1"/>
  <c r="Y26" i="5" a="1"/>
  <c r="Y27" i="5" a="1"/>
  <c r="E13" i="5" a="1"/>
  <c r="Y25" i="5" a="1"/>
  <c r="J24" i="5" a="1"/>
  <c r="J29" i="5" a="1"/>
  <c r="K28" i="5" a="1"/>
  <c r="K24" i="5" a="1"/>
  <c r="D4" i="5" l="1"/>
  <c r="H40" i="5"/>
  <c r="H26" i="5"/>
  <c r="H27" i="5"/>
  <c r="H41" i="5"/>
  <c r="H24" i="5"/>
  <c r="H22" i="5"/>
  <c r="H23" i="5"/>
  <c r="H43" i="5"/>
  <c r="H29" i="5"/>
  <c r="H30" i="5"/>
  <c r="F21" i="5"/>
  <c r="H21" i="5" s="1"/>
  <c r="D21" i="5"/>
  <c r="H28" i="5"/>
  <c r="H25" i="5"/>
  <c r="K21" i="5" a="1"/>
  <c r="P4" i="5" a="1"/>
  <c r="G4" i="5" a="1"/>
  <c r="K40" i="5" a="1"/>
  <c r="Y21" i="5" a="1"/>
  <c r="K23" i="5" a="1"/>
  <c r="K22" i="5" a="1"/>
  <c r="E4" i="5" a="1"/>
  <c r="J22" i="5" a="1"/>
  <c r="J4" i="5" a="1"/>
  <c r="J26" i="5" a="1"/>
  <c r="E13" i="5"/>
  <c r="E7" i="5"/>
  <c r="J28" i="5"/>
  <c r="Y23" i="5"/>
  <c r="J27" i="5"/>
  <c r="J24" i="5"/>
  <c r="Y24" i="5"/>
  <c r="K30" i="5"/>
  <c r="E14" i="5"/>
  <c r="J29" i="5"/>
  <c r="Y27" i="5"/>
  <c r="E11" i="5"/>
  <c r="K24" i="5"/>
  <c r="J41" i="5"/>
  <c r="K28" i="5"/>
  <c r="Y30" i="5"/>
  <c r="Y25" i="5"/>
  <c r="Y28" i="5"/>
  <c r="K29" i="5"/>
  <c r="E8" i="5"/>
  <c r="K25" i="5"/>
  <c r="E10" i="5"/>
  <c r="K41" i="5"/>
  <c r="K27" i="5"/>
  <c r="J25" i="5"/>
  <c r="E12" i="5"/>
  <c r="E9" i="5"/>
  <c r="Y29" i="5"/>
  <c r="J23" i="5"/>
  <c r="J30" i="5"/>
  <c r="E5" i="5"/>
  <c r="Y22" i="5"/>
  <c r="K26" i="5"/>
  <c r="K43" i="5"/>
  <c r="Y26" i="5"/>
  <c r="J43" i="5"/>
  <c r="E6" i="5"/>
  <c r="J40" i="5"/>
  <c r="H9" i="5" l="1"/>
  <c r="T9" i="5" s="1"/>
  <c r="H8" i="5"/>
  <c r="T8" i="5" s="1"/>
  <c r="H13" i="5"/>
  <c r="T13" i="5" s="1"/>
  <c r="H10" i="5"/>
  <c r="T10" i="5" s="1"/>
  <c r="H7" i="5"/>
  <c r="T7" i="5" s="1"/>
  <c r="H14" i="5"/>
  <c r="T14" i="5" s="1"/>
  <c r="H6" i="5"/>
  <c r="T6" i="5" s="1"/>
  <c r="H5" i="5"/>
  <c r="T5" i="5" s="1"/>
  <c r="H12" i="5"/>
  <c r="T12" i="5" s="1"/>
  <c r="H11" i="5"/>
  <c r="T11" i="5" s="1"/>
  <c r="E41" i="6"/>
  <c r="E34" i="6"/>
  <c r="E35" i="6"/>
  <c r="E40" i="6"/>
  <c r="F36" i="6"/>
  <c r="F32" i="6"/>
  <c r="F33" i="6"/>
  <c r="E43" i="6"/>
  <c r="E31" i="6"/>
  <c r="E30" i="6"/>
  <c r="E32" i="6"/>
  <c r="E37" i="6"/>
  <c r="F37" i="6"/>
  <c r="F31" i="6"/>
  <c r="F43" i="6"/>
  <c r="F34" i="6"/>
  <c r="F41" i="6"/>
  <c r="F35" i="6"/>
  <c r="E36" i="6"/>
  <c r="Q21" i="5"/>
  <c r="R21" i="5" s="1"/>
  <c r="V21" i="5"/>
  <c r="W21" i="5" s="1"/>
  <c r="I14" i="5"/>
  <c r="I7" i="5"/>
  <c r="I6" i="5"/>
  <c r="I9" i="5"/>
  <c r="I13" i="5"/>
  <c r="I8" i="5"/>
  <c r="I12" i="5"/>
  <c r="I10" i="5"/>
  <c r="I11" i="5"/>
  <c r="K11" i="5"/>
  <c r="K13" i="5"/>
  <c r="K9" i="5"/>
  <c r="K14" i="5"/>
  <c r="K7" i="5"/>
  <c r="K6" i="5"/>
  <c r="K12" i="5"/>
  <c r="K10" i="5"/>
  <c r="K8" i="5"/>
  <c r="V26" i="5"/>
  <c r="W26" i="5" s="1"/>
  <c r="V27" i="5"/>
  <c r="W27" i="5" s="1"/>
  <c r="L29" i="5"/>
  <c r="M29" i="5" s="1"/>
  <c r="G36" i="6" s="1"/>
  <c r="L30" i="5"/>
  <c r="M30" i="5" s="1"/>
  <c r="G37" i="6" s="1"/>
  <c r="L24" i="5"/>
  <c r="M24" i="5" s="1"/>
  <c r="G31" i="6" s="1"/>
  <c r="Q26" i="5"/>
  <c r="R26" i="5" s="1"/>
  <c r="Q29" i="5"/>
  <c r="R29" i="5" s="1"/>
  <c r="V29" i="5"/>
  <c r="W29" i="5" s="1"/>
  <c r="Q25" i="5"/>
  <c r="R25" i="5" s="1"/>
  <c r="V22" i="5"/>
  <c r="W22" i="5" s="1"/>
  <c r="Q23" i="5"/>
  <c r="R23" i="5" s="1"/>
  <c r="Q28" i="5"/>
  <c r="R28" i="5" s="1"/>
  <c r="Q24" i="5"/>
  <c r="R24" i="5" s="1"/>
  <c r="Q22" i="5"/>
  <c r="R22" i="5" s="1"/>
  <c r="L41" i="5"/>
  <c r="M41" i="5" s="1"/>
  <c r="G41" i="6" s="1"/>
  <c r="V24" i="5"/>
  <c r="W24" i="5" s="1"/>
  <c r="V23" i="5"/>
  <c r="W23" i="5" s="1"/>
  <c r="L43" i="5"/>
  <c r="M43" i="5" s="1"/>
  <c r="G43" i="6" s="1"/>
  <c r="L28" i="5"/>
  <c r="M28" i="5" s="1"/>
  <c r="G35" i="6" s="1"/>
  <c r="V25" i="5"/>
  <c r="W25" i="5" s="1"/>
  <c r="Q40" i="5"/>
  <c r="R40" i="5" s="1"/>
  <c r="V28" i="5"/>
  <c r="W28" i="5" s="1"/>
  <c r="V40" i="5"/>
  <c r="W40" i="5" s="1"/>
  <c r="Q30" i="5"/>
  <c r="R30" i="5" s="1"/>
  <c r="V30" i="5"/>
  <c r="W30" i="5" s="1"/>
  <c r="H33" i="5"/>
  <c r="H34" i="5"/>
  <c r="L27" i="5"/>
  <c r="M27" i="5" s="1"/>
  <c r="G34" i="6" s="1"/>
  <c r="Q41" i="5"/>
  <c r="R41" i="5" s="1"/>
  <c r="Q43" i="5"/>
  <c r="R43" i="5" s="1"/>
  <c r="Q27" i="5"/>
  <c r="R27" i="5" s="1"/>
  <c r="V41" i="5"/>
  <c r="W41" i="5" s="1"/>
  <c r="L25" i="5"/>
  <c r="M25" i="5" s="1"/>
  <c r="G32" i="6" s="1"/>
  <c r="V43" i="5"/>
  <c r="W43" i="5" s="1"/>
  <c r="J21" i="5" a="1"/>
  <c r="K22" i="5"/>
  <c r="K23" i="5"/>
  <c r="Y21" i="5"/>
  <c r="J22" i="5"/>
  <c r="K40" i="5"/>
  <c r="J26" i="5"/>
  <c r="P4" i="5"/>
  <c r="E4" i="5"/>
  <c r="J4" i="5"/>
  <c r="G4" i="5"/>
  <c r="K21" i="5"/>
  <c r="U4" i="5" l="1"/>
  <c r="H4" i="5"/>
  <c r="T4" i="5" s="1"/>
  <c r="X4" i="5"/>
  <c r="K5" i="5"/>
  <c r="F29" i="6"/>
  <c r="F28" i="6"/>
  <c r="N5" i="5"/>
  <c r="E29" i="6"/>
  <c r="I5" i="5"/>
  <c r="L11" i="5"/>
  <c r="L10" i="5"/>
  <c r="L8" i="5"/>
  <c r="L13" i="5"/>
  <c r="L12" i="5"/>
  <c r="L14" i="5"/>
  <c r="L9" i="5"/>
  <c r="L7" i="5"/>
  <c r="L6" i="5"/>
  <c r="L26" i="5"/>
  <c r="M26" i="5" s="1"/>
  <c r="G33" i="6" s="1"/>
  <c r="E33" i="6"/>
  <c r="L40" i="5"/>
  <c r="M40" i="5" s="1"/>
  <c r="G40" i="6" s="1"/>
  <c r="F40" i="6"/>
  <c r="L23" i="5"/>
  <c r="M23" i="5" s="1"/>
  <c r="G30" i="6" s="1"/>
  <c r="F30" i="6"/>
  <c r="X41" i="5"/>
  <c r="I41" i="6" s="1"/>
  <c r="L22" i="5"/>
  <c r="M22" i="5" s="1"/>
  <c r="S41" i="5"/>
  <c r="H41" i="6" s="1"/>
  <c r="W34" i="5"/>
  <c r="W33" i="5"/>
  <c r="R33" i="5"/>
  <c r="R34" i="5"/>
  <c r="X30" i="5"/>
  <c r="I37" i="6" s="1"/>
  <c r="S30" i="5"/>
  <c r="H37" i="6" s="1"/>
  <c r="X25" i="5"/>
  <c r="I32" i="6" s="1"/>
  <c r="S25" i="5"/>
  <c r="H32" i="6" s="1"/>
  <c r="X27" i="5"/>
  <c r="I34" i="6" s="1"/>
  <c r="S27" i="5"/>
  <c r="H34" i="6" s="1"/>
  <c r="X28" i="5"/>
  <c r="I35" i="6" s="1"/>
  <c r="S28" i="5"/>
  <c r="H35" i="6" s="1"/>
  <c r="X43" i="5"/>
  <c r="I43" i="6" s="1"/>
  <c r="S43" i="5"/>
  <c r="H43" i="6" s="1"/>
  <c r="X29" i="5"/>
  <c r="I36" i="6" s="1"/>
  <c r="S29" i="5"/>
  <c r="H36" i="6" s="1"/>
  <c r="X24" i="5"/>
  <c r="I31" i="6" s="1"/>
  <c r="S24" i="5"/>
  <c r="H31" i="6" s="1"/>
  <c r="J21" i="5"/>
  <c r="O5" i="5" l="1"/>
  <c r="L5" i="5"/>
  <c r="X40" i="5"/>
  <c r="I40" i="6" s="1"/>
  <c r="S23" i="5"/>
  <c r="H30" i="6" s="1"/>
  <c r="X23" i="5"/>
  <c r="I30" i="6" s="1"/>
  <c r="S26" i="5"/>
  <c r="H33" i="6" s="1"/>
  <c r="S40" i="5"/>
  <c r="H40" i="6" s="1"/>
  <c r="X26" i="5"/>
  <c r="I33" i="6" s="1"/>
  <c r="X22" i="5"/>
  <c r="I29" i="6" s="1"/>
  <c r="G29" i="6"/>
  <c r="L21" i="5"/>
  <c r="M21" i="5" s="1"/>
  <c r="G28" i="6" s="1"/>
  <c r="E28" i="6"/>
  <c r="S22" i="5"/>
  <c r="H29" i="6" s="1"/>
  <c r="M33" i="5" l="1"/>
  <c r="M34" i="5"/>
  <c r="S21" i="5"/>
  <c r="H28" i="6" s="1"/>
  <c r="X21" i="5"/>
  <c r="X34" i="5" s="1"/>
  <c r="S33" i="5" l="1"/>
  <c r="X33" i="5"/>
  <c r="I28" i="6"/>
  <c r="S34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<sst xmlns="http://schemas.openxmlformats.org/spreadsheetml/2006/main" count="1231" uniqueCount="455">
  <si>
    <t>issuers</t>
  </si>
  <si>
    <t>bonds</t>
  </si>
  <si>
    <t>ticker</t>
  </si>
  <si>
    <t>short spread</t>
  </si>
  <si>
    <t>long spread</t>
  </si>
  <si>
    <t>curve per year</t>
  </si>
  <si>
    <t>rating</t>
  </si>
  <si>
    <t>curve change (14d)</t>
  </si>
  <si>
    <t>curve change (30d)</t>
  </si>
  <si>
    <t>short code</t>
  </si>
  <si>
    <t>long code</t>
  </si>
  <si>
    <t>short bond</t>
  </si>
  <si>
    <t>long bond</t>
  </si>
  <si>
    <t>short date</t>
  </si>
  <si>
    <t>long date</t>
  </si>
  <si>
    <t>years</t>
  </si>
  <si>
    <t>spread measure</t>
  </si>
  <si>
    <t>curve</t>
  </si>
  <si>
    <t>short rating</t>
  </si>
  <si>
    <t>long rating</t>
  </si>
  <si>
    <t>short crncy</t>
  </si>
  <si>
    <t>long crncy</t>
  </si>
  <si>
    <t>RH sector</t>
  </si>
  <si>
    <t>hist spread measure</t>
  </si>
  <si>
    <t>short Spread (14d)</t>
  </si>
  <si>
    <t>long Spread (14d)</t>
  </si>
  <si>
    <t>curve (14d)</t>
  </si>
  <si>
    <t>curve per year (14d)</t>
  </si>
  <si>
    <t>short spread (30d)</t>
  </si>
  <si>
    <t>long spread (30d)</t>
  </si>
  <si>
    <t>curve (30d)</t>
  </si>
  <si>
    <t>curve per year (30d)</t>
  </si>
  <si>
    <t>SOLBBB</t>
  </si>
  <si>
    <t>XS0992293901 Corp</t>
  </si>
  <si>
    <t>XS1323897725 Corp</t>
  </si>
  <si>
    <t>yas_ispread</t>
  </si>
  <si>
    <t>blp_i_sprd_mid</t>
  </si>
  <si>
    <t>SESGFP</t>
  </si>
  <si>
    <t>LW253022 Corp</t>
  </si>
  <si>
    <t>AL211915 Corp</t>
  </si>
  <si>
    <t>GYCGR</t>
  </si>
  <si>
    <t>XS1191320297 Corp</t>
  </si>
  <si>
    <t>XS1811181566 Corp</t>
  </si>
  <si>
    <t>ACFP</t>
  </si>
  <si>
    <t>FR0013399177 Corp</t>
  </si>
  <si>
    <t>FR0013457157 Corp</t>
  </si>
  <si>
    <t>REPSM</t>
  </si>
  <si>
    <t>XS1207058733 Corp</t>
  </si>
  <si>
    <t>BJ814648 Corp</t>
  </si>
  <si>
    <t>EDPPL</t>
  </si>
  <si>
    <t>AW875570 Corp</t>
  </si>
  <si>
    <t>ZP454068 Corp</t>
  </si>
  <si>
    <t>NTGYSM</t>
  </si>
  <si>
    <t>EK588292 Corp</t>
  </si>
  <si>
    <t>EK872764 Corp</t>
  </si>
  <si>
    <t>EDF</t>
  </si>
  <si>
    <t>FR0013367612 Corp</t>
  </si>
  <si>
    <t>FR0011697028 Corp</t>
  </si>
  <si>
    <t>DBOERS</t>
  </si>
  <si>
    <t>UV391246 Corp</t>
  </si>
  <si>
    <t>BJ924355 Corp</t>
  </si>
  <si>
    <t>ENELIM</t>
  </si>
  <si>
    <t>XS1713463716 Corp</t>
  </si>
  <si>
    <t>XS1713463559 Corp</t>
  </si>
  <si>
    <t>BAYNGR</t>
  </si>
  <si>
    <t>EK352403 Corp</t>
  </si>
  <si>
    <t>XS2077670342 Corp</t>
  </si>
  <si>
    <t>ORAFP</t>
  </si>
  <si>
    <t>XS1028599287 Corp</t>
  </si>
  <si>
    <t>XS1115498260 Corp</t>
  </si>
  <si>
    <t>AKFAST</t>
  </si>
  <si>
    <t>AR936992 Corp</t>
  </si>
  <si>
    <t>ZP989429 Corp</t>
  </si>
  <si>
    <t>MRKGR</t>
  </si>
  <si>
    <t>XS2011260531 Corp</t>
  </si>
  <si>
    <t>XS2011260705 Corp</t>
  </si>
  <si>
    <t>SEVFP</t>
  </si>
  <si>
    <t>EK821917 Corp</t>
  </si>
  <si>
    <t>ZR441424 Corp</t>
  </si>
  <si>
    <t>NGGLN</t>
  </si>
  <si>
    <t>ZR363806 Corp</t>
  </si>
  <si>
    <t>ZR363807 Corp</t>
  </si>
  <si>
    <t>BPLN</t>
  </si>
  <si>
    <t>BK122273 Corp</t>
  </si>
  <si>
    <t>BK123260 Corp</t>
  </si>
  <si>
    <t>SBBBSS</t>
  </si>
  <si>
    <t>ZS235422 Corp</t>
  </si>
  <si>
    <t>ZP659512 Corp</t>
  </si>
  <si>
    <t>ORSTED</t>
  </si>
  <si>
    <t>EJ723329 Corp</t>
  </si>
  <si>
    <t>ZQ804479 Corp</t>
  </si>
  <si>
    <t>TELIAS</t>
  </si>
  <si>
    <t>AM938782 Corp</t>
  </si>
  <si>
    <t>ZP870673 Corp</t>
  </si>
  <si>
    <t>ENBW</t>
  </si>
  <si>
    <t>XS2035564975 Corp</t>
  </si>
  <si>
    <t>XS2035564629 Corp</t>
  </si>
  <si>
    <t>CPIPGR</t>
  </si>
  <si>
    <t>AS322477 Corp</t>
  </si>
  <si>
    <t>ZS108668 Corp</t>
  </si>
  <si>
    <t>ERFFP</t>
  </si>
  <si>
    <t>ZR457518 Corp</t>
  </si>
  <si>
    <t>AP809058 Corp</t>
  </si>
  <si>
    <t>IFXGR</t>
  </si>
  <si>
    <t>ZR796682 Corp</t>
  </si>
  <si>
    <t>ZR796862 Corp</t>
  </si>
  <si>
    <t>TOTAL</t>
  </si>
  <si>
    <t>XS1501167164 Corp</t>
  </si>
  <si>
    <t>XS1501166869 Corp</t>
  </si>
  <si>
    <t>DBHNGR</t>
  </si>
  <si>
    <t>ZQ099270 Corp</t>
  </si>
  <si>
    <t>ZQ100348 Corp</t>
  </si>
  <si>
    <t>VW</t>
  </si>
  <si>
    <t>AN880322 Corp</t>
  </si>
  <si>
    <t>EK811579 Corp</t>
  </si>
  <si>
    <t>BERTEL</t>
  </si>
  <si>
    <t>EK848378 Corp</t>
  </si>
  <si>
    <t>EK864970 Corp</t>
  </si>
  <si>
    <t>OMVAV</t>
  </si>
  <si>
    <t>XS1713462403 Corp</t>
  </si>
  <si>
    <t>XS1294343337 Corp</t>
  </si>
  <si>
    <t>IBESM</t>
  </si>
  <si>
    <t>XS1721244371 Corp</t>
  </si>
  <si>
    <t>XS1890845875 Corp</t>
  </si>
  <si>
    <t>TELEFO</t>
  </si>
  <si>
    <t>AR738776 Corp</t>
  </si>
  <si>
    <t>ZR655675 Corp</t>
  </si>
  <si>
    <t>VOD</t>
  </si>
  <si>
    <t>AU654481 Corp</t>
  </si>
  <si>
    <t>AU692498 Corp</t>
  </si>
  <si>
    <t>AKEFP</t>
  </si>
  <si>
    <t>FR0013425170 Corp</t>
  </si>
  <si>
    <t>FR0013478252 Corp</t>
  </si>
  <si>
    <t>ENGIFP</t>
  </si>
  <si>
    <t>AQ711148 Corp</t>
  </si>
  <si>
    <t>AZ371883 Corp</t>
  </si>
  <si>
    <t>RWE</t>
  </si>
  <si>
    <t>XS1219498141 Corp</t>
  </si>
  <si>
    <t>XS1219499032 Corp</t>
  </si>
  <si>
    <t>ULFP</t>
  </si>
  <si>
    <t>AS146424 Corp</t>
  </si>
  <si>
    <t>AS146490 Corp</t>
  </si>
  <si>
    <t>min</t>
  </si>
  <si>
    <t>average</t>
  </si>
  <si>
    <t>max</t>
  </si>
  <si>
    <t>vw</t>
  </si>
  <si>
    <t>bond list</t>
  </si>
  <si>
    <t>isin</t>
  </si>
  <si>
    <t>pos</t>
  </si>
  <si>
    <t>-</t>
  </si>
  <si>
    <t>basis</t>
  </si>
  <si>
    <t>slope</t>
  </si>
  <si>
    <t>historic spread measure</t>
  </si>
  <si>
    <t>short spread (14d)</t>
  </si>
  <si>
    <t>long spread (14d)</t>
  </si>
  <si>
    <t>basis (14d)</t>
  </si>
  <si>
    <t>slope (14d)</t>
  </si>
  <si>
    <t>slope change (14d)</t>
  </si>
  <si>
    <t>basis (30d)</t>
  </si>
  <si>
    <t>slope (30d)</t>
  </si>
  <si>
    <t>slope change (30d)</t>
  </si>
  <si>
    <t>pairBasis</t>
  </si>
  <si>
    <t>av</t>
  </si>
  <si>
    <t>st dev</t>
  </si>
  <si>
    <t>whole curve</t>
  </si>
  <si>
    <t>long end</t>
  </si>
  <si>
    <t>telefo</t>
  </si>
  <si>
    <t>st Dev</t>
  </si>
  <si>
    <t>total</t>
  </si>
  <si>
    <t>sectors</t>
  </si>
  <si>
    <t>sector</t>
  </si>
  <si>
    <t>Low Beta</t>
  </si>
  <si>
    <t>stDev</t>
  </si>
  <si>
    <t>TMT/ AUTO</t>
  </si>
  <si>
    <t>REIT</t>
  </si>
  <si>
    <t>Energy</t>
  </si>
  <si>
    <t>UTILS</t>
  </si>
  <si>
    <t>worksheet ID</t>
  </si>
  <si>
    <t>name</t>
  </si>
  <si>
    <t>worksheet get</t>
  </si>
  <si>
    <t>ID_ISIN</t>
  </si>
  <si>
    <t>security name</t>
  </si>
  <si>
    <t>coupon</t>
  </si>
  <si>
    <t>nxt_call_dt</t>
  </si>
  <si>
    <t>mty_typ</t>
  </si>
  <si>
    <t>crncy</t>
  </si>
  <si>
    <t>amt_outstanding</t>
  </si>
  <si>
    <t>industry_sector</t>
  </si>
  <si>
    <t>unique lookup</t>
  </si>
  <si>
    <t>unique ticker</t>
  </si>
  <si>
    <t>excatly once</t>
  </si>
  <si>
    <t>multiple sort</t>
  </si>
  <si>
    <t>number of bonds</t>
  </si>
  <si>
    <t>unique sector</t>
  </si>
  <si>
    <t>count sector</t>
  </si>
  <si>
    <t>value measures</t>
  </si>
  <si>
    <t>redHedge hybrids</t>
  </si>
  <si>
    <t>RH sector buckets</t>
  </si>
  <si>
    <t>Perp Voon 1</t>
  </si>
  <si>
    <t>w-55F6F816E93547B58DAD99F9F740410F</t>
  </si>
  <si>
    <t>AdditionalTier-01</t>
  </si>
  <si>
    <t>EJ917655 Corp</t>
  </si>
  <si>
    <t>Z_SPRD_MID</t>
  </si>
  <si>
    <t>w-33CB3C8E018449F9B25026E8124459F9</t>
  </si>
  <si>
    <t>New Worksheet</t>
  </si>
  <si>
    <t>AV915324 Corp</t>
  </si>
  <si>
    <t>YAS_BOND_YLD</t>
  </si>
  <si>
    <t>BNFP</t>
  </si>
  <si>
    <t>w-1B20051C9B5544769B5409E7E56378C3</t>
  </si>
  <si>
    <t>QJ937566 Corp</t>
  </si>
  <si>
    <t>YLD_CNV_MID</t>
  </si>
  <si>
    <t>missing</t>
  </si>
  <si>
    <t>w-2D0FBA1982BA434C81055AA9406F7ACF</t>
  </si>
  <si>
    <t>CDS Curves</t>
  </si>
  <si>
    <t>EK834863 Corp</t>
  </si>
  <si>
    <t>w-B151B691AD7245A385D6917055BF88DC</t>
  </si>
  <si>
    <t>IG Corp Autos</t>
  </si>
  <si>
    <t>w-BB807655FF7748D8A00C0861FC439807</t>
  </si>
  <si>
    <t>IG Corp Utils Oil</t>
  </si>
  <si>
    <t>ZQ512606 Corp</t>
  </si>
  <si>
    <t>LXSGR</t>
  </si>
  <si>
    <t>w-E611ED8AD9DC40C28C2B7A2106215B8E</t>
  </si>
  <si>
    <t>AT1 Voon 1</t>
  </si>
  <si>
    <t>ZQ513315 Corp</t>
  </si>
  <si>
    <t>LHNVX</t>
  </si>
  <si>
    <t>w-F108C3EBE2474CA8B3A18F62934FB94B</t>
  </si>
  <si>
    <t>IG Corp TMT</t>
  </si>
  <si>
    <t>BJ736567 Corp</t>
  </si>
  <si>
    <t>EVKGR</t>
  </si>
  <si>
    <t>others</t>
  </si>
  <si>
    <t>EK634166 Corp</t>
  </si>
  <si>
    <t>EK648265 Corp</t>
  </si>
  <si>
    <t>AZ208021 Corp</t>
  </si>
  <si>
    <t>AZ207706 Corp</t>
  </si>
  <si>
    <t>EK545606 Corp</t>
  </si>
  <si>
    <t>BHP</t>
  </si>
  <si>
    <t>AZ018655 Corp</t>
  </si>
  <si>
    <t>AMXLMM</t>
  </si>
  <si>
    <t>ZP482524 Corp</t>
  </si>
  <si>
    <t>lookup sheet</t>
  </si>
  <si>
    <t>AL243419 Corp</t>
  </si>
  <si>
    <t>KPN</t>
  </si>
  <si>
    <t>AX960245 Corp</t>
  </si>
  <si>
    <t>AO148682 Corp</t>
  </si>
  <si>
    <t>EK856946 Corp</t>
  </si>
  <si>
    <t>AP691131 Corp</t>
  </si>
  <si>
    <t>BRITEL</t>
  </si>
  <si>
    <t>AR887333 Corp</t>
  </si>
  <si>
    <t>T</t>
  </si>
  <si>
    <t>UV853118 Corp</t>
  </si>
  <si>
    <t>AR776117 Corp</t>
  </si>
  <si>
    <t>QJ993374 Corp</t>
  </si>
  <si>
    <t>TENN</t>
  </si>
  <si>
    <t>EK803079 Corp</t>
  </si>
  <si>
    <t>VATFAL</t>
  </si>
  <si>
    <t>EK814844 Corp</t>
  </si>
  <si>
    <t>BJ815149 Corp</t>
  </si>
  <si>
    <t>CNALN</t>
  </si>
  <si>
    <t>BK123548 Corp</t>
  </si>
  <si>
    <t>SSELN</t>
  </si>
  <si>
    <t>BK115993 Corp</t>
  </si>
  <si>
    <t>ALLRNV</t>
  </si>
  <si>
    <t>BK116008 Corp</t>
  </si>
  <si>
    <t>EK755354 Corp</t>
  </si>
  <si>
    <t>STEDIN</t>
  </si>
  <si>
    <t>LW068019 Corp</t>
  </si>
  <si>
    <t>QZ730280 Corp</t>
  </si>
  <si>
    <t>ELIASO</t>
  </si>
  <si>
    <t>AX895488 Corp</t>
  </si>
  <si>
    <t>VLVY</t>
  </si>
  <si>
    <t>EK755342 Corp</t>
  </si>
  <si>
    <t>QZ730458 Corp</t>
  </si>
  <si>
    <t>QJ190690 Corp</t>
  </si>
  <si>
    <t>AFFP</t>
  </si>
  <si>
    <t>QJ190880 Corp</t>
  </si>
  <si>
    <t>LHAGR</t>
  </si>
  <si>
    <t>QJ201812 Corp</t>
  </si>
  <si>
    <t>WIEAV</t>
  </si>
  <si>
    <t>QJ201811 Corp</t>
  </si>
  <si>
    <t>FERSM</t>
  </si>
  <si>
    <t>QJ191077 Corp</t>
  </si>
  <si>
    <t>SBRYLN</t>
  </si>
  <si>
    <t>EJ814830 Corp</t>
  </si>
  <si>
    <t>EJ814840 Corp</t>
  </si>
  <si>
    <t>ANNGR</t>
  </si>
  <si>
    <t>EJ606316 Corp</t>
  </si>
  <si>
    <t>BALDER</t>
  </si>
  <si>
    <t>ZQ376350 Corp</t>
  </si>
  <si>
    <t>TLGGR</t>
  </si>
  <si>
    <t>HEIBOS</t>
  </si>
  <si>
    <t>ARNDTN</t>
  </si>
  <si>
    <t>EK508481 Corp</t>
  </si>
  <si>
    <t>EK041235 Corp</t>
  </si>
  <si>
    <t>JUSTLN</t>
  </si>
  <si>
    <t>ZS023353 Corp</t>
  </si>
  <si>
    <t>SZUGR</t>
  </si>
  <si>
    <t>EK508523 Corp</t>
  </si>
  <si>
    <t>COFP</t>
  </si>
  <si>
    <t>ZR570567 Corp</t>
  </si>
  <si>
    <t>TRAFIG</t>
  </si>
  <si>
    <t>EK041241 Corp</t>
  </si>
  <si>
    <t>ECLEAR</t>
  </si>
  <si>
    <t>EK508571 Corp</t>
  </si>
  <si>
    <t>SOFTBK</t>
  </si>
  <si>
    <t>QZ498658 Corp</t>
  </si>
  <si>
    <t>AQ234625 Corp</t>
  </si>
  <si>
    <t>EK143492 Corp</t>
  </si>
  <si>
    <t>AX520482 Corp</t>
  </si>
  <si>
    <t>AR738797 Corp</t>
  </si>
  <si>
    <t>ZP707724 Corp</t>
  </si>
  <si>
    <t>AU654475 Corp</t>
  </si>
  <si>
    <t>AU654357 Corp</t>
  </si>
  <si>
    <t>AX916964 Corp</t>
  </si>
  <si>
    <t>BG013162 Corp</t>
  </si>
  <si>
    <t>ZP991036 Corp</t>
  </si>
  <si>
    <t>EJ744879 Corp</t>
  </si>
  <si>
    <t>EK293278 Corp</t>
  </si>
  <si>
    <t>AW770805 Corp</t>
  </si>
  <si>
    <t>AN206662 Corp</t>
  </si>
  <si>
    <t>EK024532 Corp</t>
  </si>
  <si>
    <t>AU669900 Corp</t>
  </si>
  <si>
    <t>EJ516233 Corp</t>
  </si>
  <si>
    <t>EK024568 Corp</t>
  </si>
  <si>
    <t>ZQ782646 Corp</t>
  </si>
  <si>
    <t>EJ516173 Corp</t>
  </si>
  <si>
    <t>EK024610 Corp</t>
  </si>
  <si>
    <t>EJ530879 Corp</t>
  </si>
  <si>
    <t>EK027221 Corp</t>
  </si>
  <si>
    <t>EK117900 Corp</t>
  </si>
  <si>
    <t>QZ716550 Corp</t>
  </si>
  <si>
    <t>AZ851393 Corp</t>
  </si>
  <si>
    <t>BK184880 Corp</t>
  </si>
  <si>
    <t>AZ851450 Corp</t>
  </si>
  <si>
    <t>QZ677477 Corp</t>
  </si>
  <si>
    <t>EK858851 Corp</t>
  </si>
  <si>
    <t>EK858869 Corp</t>
  </si>
  <si>
    <t>UV323151 Corp</t>
  </si>
  <si>
    <t>AM888722 Corp</t>
  </si>
  <si>
    <t>EK785024 Corp</t>
  </si>
  <si>
    <t>QJ787834 Corp</t>
  </si>
  <si>
    <t>AS640422 Corp</t>
  </si>
  <si>
    <t>EJ670730 Corp</t>
  </si>
  <si>
    <t>ZS668300 Corp</t>
  </si>
  <si>
    <t>AS640440 Corp</t>
  </si>
  <si>
    <t>EJ817236 Corp</t>
  </si>
  <si>
    <t>EK013966 Corp</t>
  </si>
  <si>
    <t>EJ843360 Corp</t>
  </si>
  <si>
    <t>AQ026565 Corp</t>
  </si>
  <si>
    <t>AR810587 Corp</t>
  </si>
  <si>
    <t>AX076550 Corp</t>
  </si>
  <si>
    <t>EK825033 Corp</t>
  </si>
  <si>
    <t>EK824997 Corp</t>
  </si>
  <si>
    <t>EJ575377 Corp</t>
  </si>
  <si>
    <t>EK768069 Corp</t>
  </si>
  <si>
    <t>AM717420 Corp</t>
  </si>
  <si>
    <t>BK290986 Corp</t>
  </si>
  <si>
    <t>EK770296 Corp</t>
  </si>
  <si>
    <t>BK293686 Corp</t>
  </si>
  <si>
    <t>AM714338 Corp</t>
  </si>
  <si>
    <t>AR008123 Corp</t>
  </si>
  <si>
    <t>EK888464 Corp</t>
  </si>
  <si>
    <t>AQ077157 Corp</t>
  </si>
  <si>
    <t>EK605885 Corp</t>
  </si>
  <si>
    <t>UV785974 Corp</t>
  </si>
  <si>
    <t>AU216832 Corp</t>
  </si>
  <si>
    <t>EK628291 Corp</t>
  </si>
  <si>
    <t>EK131366 Corp</t>
  </si>
  <si>
    <t>EK811633 Corp</t>
  </si>
  <si>
    <t>EJ811600 Corp</t>
  </si>
  <si>
    <t>AT214421 Corp</t>
  </si>
  <si>
    <t>BJ980509 Corp</t>
  </si>
  <si>
    <t>EK131372 Corp</t>
  </si>
  <si>
    <t>AN880326 Corp</t>
  </si>
  <si>
    <t>AT214434 Corp</t>
  </si>
  <si>
    <t>BJ980938 Corp</t>
  </si>
  <si>
    <t>EK337178 Corp</t>
  </si>
  <si>
    <t>AW798439 Corp</t>
  </si>
  <si>
    <t>ZQ258633 Corp</t>
  </si>
  <si>
    <t>EK808355 Corp</t>
  </si>
  <si>
    <t>UV429459 Corp</t>
  </si>
  <si>
    <t>AP909674 Corp</t>
  </si>
  <si>
    <t>EK642935 Corp</t>
  </si>
  <si>
    <t>AO971106 Corp</t>
  </si>
  <si>
    <t>ZR668027 Corp</t>
  </si>
  <si>
    <t>ZQ578143 Corp</t>
  </si>
  <si>
    <t>QZ912649 Corp</t>
  </si>
  <si>
    <t>AQ713600 Corp</t>
  </si>
  <si>
    <t>AZ576858 Corp</t>
  </si>
  <si>
    <t>AN964724 Corp</t>
  </si>
  <si>
    <t>AZ207973 Corp</t>
  </si>
  <si>
    <t>EK753416 Corp</t>
  </si>
  <si>
    <t>QZ509895 Corp</t>
  </si>
  <si>
    <t>AS256491 Corp</t>
  </si>
  <si>
    <t>AX691342 Corp</t>
  </si>
  <si>
    <t>ED984069 Corp</t>
  </si>
  <si>
    <t>EJ891119 Corp</t>
  </si>
  <si>
    <t>UV309787 Corp</t>
  </si>
  <si>
    <t>EK523297 Corp</t>
  </si>
  <si>
    <t>AM679347 Corp</t>
  </si>
  <si>
    <t>AZ920495 Corp</t>
  </si>
  <si>
    <t>AO262498 Corp</t>
  </si>
  <si>
    <t>AO262515 Corp</t>
  </si>
  <si>
    <t>filter for issuers in eur with &gt;= 3 bonds</t>
  </si>
  <si>
    <t>unique bonds</t>
  </si>
  <si>
    <t>occurances</t>
  </si>
  <si>
    <t>curves</t>
  </si>
  <si>
    <t>occurance</t>
  </si>
  <si>
    <t>first 50 bonds maturing by next call date</t>
  </si>
  <si>
    <t>last updated</t>
  </si>
  <si>
    <t>bond</t>
  </si>
  <si>
    <t>next call</t>
  </si>
  <si>
    <t>I spread</t>
  </si>
  <si>
    <t>average 30d spread</t>
  </si>
  <si>
    <t>average 90d spread</t>
  </si>
  <si>
    <t>st dev 30d spread</t>
  </si>
  <si>
    <t>short ticker</t>
  </si>
  <si>
    <t>long ticker</t>
  </si>
  <si>
    <t>min 30d spread</t>
  </si>
  <si>
    <t>max 30d spread</t>
  </si>
  <si>
    <t>spread</t>
  </si>
  <si>
    <t>30d basis</t>
  </si>
  <si>
    <t>30 d curve</t>
  </si>
  <si>
    <t>enbw</t>
  </si>
  <si>
    <t>orange</t>
  </si>
  <si>
    <t>orafp</t>
  </si>
  <si>
    <t>engifp</t>
  </si>
  <si>
    <t>edf</t>
  </si>
  <si>
    <t>bayngr</t>
  </si>
  <si>
    <t>solbbb</t>
  </si>
  <si>
    <t>mrkgr</t>
  </si>
  <si>
    <t>repsm</t>
  </si>
  <si>
    <t>enelim</t>
  </si>
  <si>
    <t>orsted</t>
  </si>
  <si>
    <t>remove the orsted 3 11/15 bond</t>
  </si>
  <si>
    <t>akefp</t>
  </si>
  <si>
    <t>erffp</t>
  </si>
  <si>
    <t>omvav</t>
  </si>
  <si>
    <t>sevfp</t>
  </si>
  <si>
    <t>ibesm</t>
  </si>
  <si>
    <t>edppl</t>
  </si>
  <si>
    <t>remove the EDPPL 5.375 bond</t>
  </si>
  <si>
    <t>acfp</t>
  </si>
  <si>
    <t>remove the ACFP 4.125 bond</t>
  </si>
  <si>
    <t>ccy</t>
  </si>
  <si>
    <t>count</t>
  </si>
  <si>
    <t>30 day low</t>
  </si>
  <si>
    <t>30 day high</t>
  </si>
  <si>
    <t>30d av spread</t>
  </si>
  <si>
    <t>yeargap</t>
  </si>
  <si>
    <t>tenor</t>
  </si>
  <si>
    <t>high</t>
  </si>
  <si>
    <t>low</t>
  </si>
  <si>
    <t>history</t>
  </si>
  <si>
    <t>5y, 10y buckets to be added</t>
  </si>
  <si>
    <t>add benchmark bond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</si>
</sst>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_ ;[Red]\-#,##0\ "/>
  </numFmts>
  <fonts count="6" x14ac:knownFonts="1">
    <font>
      <sz val="11"/>
      <color theme="1"/>
      <name val="Calibri"/>
      <family val="2"/>
      <scheme val="minor"/>
    </font>
    <font>
      <sz val="8"/>
      <color theme="1"/>
      <name val="Courier New"/>
      <family val="3"/>
    </font>
    <font>
      <b/>
      <sz val="8"/>
      <color theme="1"/>
      <name val="Courier New"/>
      <family val="3"/>
    </font>
    <font>
      <b/>
      <sz val="8"/>
      <color theme="0"/>
      <name val="Courier New"/>
      <family val="3"/>
    </font>
    <font>
      <sz val="6"/>
      <color theme="1"/>
      <name val="Courier New"/>
      <family val="3"/>
    </font>
    <font>
      <b/>
      <sz val="12"/>
      <color theme="1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/>
        <bgColor theme="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 style="thin">
        <color theme="6"/>
      </left>
      <right/>
      <top/>
      <bottom/>
      <diagonal/>
    </border>
    <border>
      <left/>
      <right style="thin">
        <color theme="6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2" xfId="0" applyNumberFormat="1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2" xfId="0" applyFont="1" applyBorder="1" applyAlignment="1">
      <alignment horizontal="left"/>
    </xf>
    <xf numFmtId="14" fontId="2" fillId="0" borderId="2" xfId="0" applyNumberFormat="1" applyFont="1" applyBorder="1" applyAlignment="1">
      <alignment horizontal="left"/>
    </xf>
    <xf numFmtId="14" fontId="1" fillId="0" borderId="0" xfId="0" applyNumberFormat="1" applyFont="1" applyAlignment="1">
      <alignment horizontal="left"/>
    </xf>
    <xf numFmtId="0" fontId="1" fillId="0" borderId="0" xfId="0" applyNumberFormat="1" applyFont="1" applyAlignment="1">
      <alignment horizontal="left"/>
    </xf>
    <xf numFmtId="3" fontId="1" fillId="0" borderId="0" xfId="0" applyNumberFormat="1" applyFont="1" applyAlignment="1">
      <alignment horizontal="left"/>
    </xf>
    <xf numFmtId="0" fontId="1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left" wrapText="1"/>
    </xf>
    <xf numFmtId="0" fontId="3" fillId="3" borderId="0" xfId="0" applyFont="1" applyFill="1" applyBorder="1" applyAlignment="1">
      <alignment horizontal="left" wrapText="1"/>
    </xf>
    <xf numFmtId="14" fontId="3" fillId="3" borderId="0" xfId="0" applyNumberFormat="1" applyFont="1" applyFill="1" applyBorder="1" applyAlignment="1">
      <alignment horizontal="left" wrapText="1"/>
    </xf>
    <xf numFmtId="0" fontId="3" fillId="3" borderId="4" xfId="0" applyFont="1" applyFill="1" applyBorder="1" applyAlignment="1">
      <alignment horizontal="left" wrapText="1"/>
    </xf>
    <xf numFmtId="164" fontId="1" fillId="0" borderId="0" xfId="0" applyNumberFormat="1" applyFont="1" applyAlignment="1">
      <alignment horizontal="left"/>
    </xf>
    <xf numFmtId="1" fontId="1" fillId="0" borderId="0" xfId="0" applyNumberFormat="1" applyFont="1" applyAlignment="1">
      <alignment horizontal="left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165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1" fontId="1" fillId="2" borderId="1" xfId="0" applyNumberFormat="1" applyFont="1" applyFill="1" applyBorder="1" applyAlignment="1">
      <alignment horizontal="left"/>
    </xf>
    <xf numFmtId="0" fontId="5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0" fontId="3" fillId="3" borderId="0" xfId="0" applyFont="1" applyFill="1" applyAlignment="1">
      <alignment horizontal="left" wrapText="1"/>
    </xf>
  </cellXfs>
  <cellStyles count="1">
    <cellStyle name="Normal" xfId="0" builtinId="0"/>
  </cellStyles>
  <dxfs count="5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urier New"/>
        <family val="3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urier New"/>
        <family val="3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urier New"/>
        <family val="3"/>
        <scheme val="none"/>
      </font>
      <numFmt numFmtId="3" formatCode="#,##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urier New"/>
        <family val="3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urier New"/>
        <family val="3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urier New"/>
        <family val="3"/>
        <scheme val="none"/>
      </font>
      <numFmt numFmtId="19" formatCode="dd/mm/yyyy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urier New"/>
        <family val="3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urier New"/>
        <family val="3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urier New"/>
        <family val="3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urier New"/>
        <family val="3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urier New"/>
        <family val="3"/>
        <scheme val="none"/>
      </font>
      <alignment horizontal="left" vertical="bottom" textRotation="0" wrapText="0" indent="0" justifyLastLine="0" shrinkToFit="0" readingOrder="0"/>
    </dxf>
    <dxf>
      <border outline="0"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urier New"/>
        <family val="3"/>
        <scheme val="none"/>
      </font>
      <alignment horizontal="left" vertical="bottom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urier New"/>
        <family val="3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urier New"/>
        <family val="3"/>
        <scheme val="none"/>
      </font>
      <numFmt numFmtId="1" formatCode="0"/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urier New"/>
        <family val="3"/>
        <scheme val="none"/>
      </font>
      <numFmt numFmtId="1" formatCode="0"/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urier New"/>
        <family val="3"/>
        <scheme val="none"/>
      </font>
      <numFmt numFmtId="1" formatCode="0"/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urier New"/>
        <family val="3"/>
        <scheme val="none"/>
      </font>
      <numFmt numFmtId="1" formatCode="0"/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urier New"/>
        <family val="3"/>
        <scheme val="none"/>
      </font>
      <numFmt numFmtId="1" formatCode="0"/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urier New"/>
        <family val="3"/>
        <scheme val="none"/>
      </font>
      <numFmt numFmtId="1" formatCode="0"/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urier New"/>
        <family val="3"/>
        <scheme val="none"/>
      </font>
      <numFmt numFmtId="1" formatCode="0"/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urier New"/>
        <family val="3"/>
        <scheme val="none"/>
      </font>
      <numFmt numFmtId="1" formatCode="0"/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urier New"/>
        <family val="3"/>
        <scheme val="none"/>
      </font>
      <numFmt numFmtId="1" formatCode="0"/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urier New"/>
        <family val="3"/>
        <scheme val="none"/>
      </font>
      <numFmt numFmtId="1" formatCode="0"/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urier New"/>
        <family val="3"/>
        <scheme val="none"/>
      </font>
      <numFmt numFmtId="1" formatCode="0"/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urier New"/>
        <family val="3"/>
        <scheme val="none"/>
      </font>
      <numFmt numFmtId="1" formatCode="0"/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urier New"/>
        <family val="3"/>
        <scheme val="none"/>
      </font>
      <numFmt numFmtId="1" formatCode="0"/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ourier New"/>
        <family val="3"/>
        <scheme val="none"/>
      </font>
      <fill>
        <patternFill patternType="solid">
          <fgColor indexed="64"/>
          <bgColor theme="7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urier New"/>
        <family val="3"/>
        <scheme val="none"/>
      </font>
      <numFmt numFmtId="0" formatCode="General"/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urier New"/>
        <family val="3"/>
        <scheme val="none"/>
      </font>
      <numFmt numFmtId="0" formatCode="General"/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urier New"/>
        <family val="3"/>
        <scheme val="none"/>
      </font>
      <numFmt numFmtId="0" formatCode="General"/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urier New"/>
        <family val="3"/>
        <scheme val="none"/>
      </font>
      <numFmt numFmtId="0" formatCode="General"/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urier New"/>
        <family val="3"/>
        <scheme val="none"/>
      </font>
      <numFmt numFmtId="0" formatCode="General"/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urier New"/>
        <family val="3"/>
        <scheme val="none"/>
      </font>
      <numFmt numFmtId="1" formatCode="0"/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urier New"/>
        <family val="3"/>
        <scheme val="none"/>
      </font>
      <numFmt numFmtId="1" formatCode="0"/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urier New"/>
        <family val="3"/>
        <scheme val="none"/>
      </font>
      <numFmt numFmtId="1" formatCode="0"/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urier New"/>
        <family val="3"/>
        <scheme val="none"/>
      </font>
      <numFmt numFmtId="1" formatCode="0"/>
      <alignment horizontal="left" vertical="bottom" textRotation="0" indent="0" justifyLastLine="0" shrinkToFit="0" readingOrder="0"/>
      <border outline="0">
        <left style="thin">
          <color indexed="64"/>
        </left>
        <right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ourier New"/>
        <family val="3"/>
        <scheme val="none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urier New"/>
        <family val="3"/>
        <scheme val="none"/>
      </font>
      <numFmt numFmtId="164" formatCode="0.0"/>
      <alignment horizontal="left" vertical="bottom" textRotation="0" indent="0" justifyLastLine="0" shrinkToFit="0" readingOrder="0"/>
      <border outline="0"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urier New"/>
        <family val="3"/>
        <scheme val="none"/>
      </font>
      <numFmt numFmtId="19" formatCode="dd/mm/yyyy"/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urier New"/>
        <family val="3"/>
        <scheme val="none"/>
      </font>
      <numFmt numFmtId="19" formatCode="dd/mm/yyyy"/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urier New"/>
        <family val="3"/>
        <scheme val="none"/>
      </font>
      <numFmt numFmtId="0" formatCode="General"/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urier New"/>
        <family val="3"/>
        <scheme val="none"/>
      </font>
      <numFmt numFmtId="0" formatCode="General"/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ourier New"/>
        <family val="3"/>
        <scheme val="none"/>
      </font>
      <fill>
        <patternFill patternType="solid">
          <fgColor indexed="64"/>
          <bgColor theme="7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ourier New"/>
        <family val="3"/>
        <scheme val="none"/>
      </font>
      <fill>
        <patternFill patternType="solid">
          <fgColor indexed="64"/>
          <bgColor theme="7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urier New"/>
        <family val="3"/>
        <scheme val="none"/>
      </font>
      <fill>
        <patternFill patternType="solid">
          <fgColor indexed="64"/>
          <bgColor theme="7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theme="6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urier New"/>
        <family val="3"/>
        <scheme val="none"/>
      </font>
      <alignment horizontal="left" vertical="bottom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Courier New"/>
        <family val="3"/>
        <scheme val="none"/>
      </font>
      <fill>
        <patternFill patternType="solid">
          <fgColor theme="6"/>
          <bgColor theme="6"/>
        </patternFill>
      </fill>
      <alignment horizontal="left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loomberg.rtd">
      <tp t="s">
        <v>NTGYSM 4 1/8 PERP</v>
        <stp/>
        <stp>##V3_BDPV12</stp>
        <stp>EK588292 Corp</stp>
        <stp>security_name</stp>
        <stp>[hybrids_02.xlsx]sectorTable!R10C5</stp>
        <tr r="E10" s="3"/>
      </tp>
      <tp t="s">
        <v>VW 2.7 PERP</v>
        <stp/>
        <stp>##V3_BDPV12</stp>
        <stp>AN880322 Corp</stp>
        <stp>security_name</stp>
        <stp>[hybrids_02.xlsx]sectorTable!R30C5</stp>
        <tr r="E30" s="3"/>
      </tp>
      <tp t="s">
        <v>BB+</v>
        <stp/>
        <stp>##V3_BDPV12</stp>
        <stp>FR0011697028 Corp</stp>
        <stp>bb_composite</stp>
        <stp>[hybrids_02.xlsx]sectorTable!R11C16</stp>
        <tr r="P11" s="3"/>
      </tp>
      <tp t="s">
        <v>BBB</v>
        <stp/>
        <stp>##V3_BDPV12</stp>
        <stp>XS1294343337 Corp</stp>
        <stp>bb_composite</stp>
        <stp>[hybrids_02.xlsx]sectorTable!R32C16</stp>
        <tr r="P32" s="3"/>
      </tp>
      <tp t="s">
        <v>EUR</v>
        <stp/>
        <stp>##V3_BDPV12</stp>
        <stp>XS1890845875 Corp</stp>
        <stp>crncy</stp>
        <stp>[hybrids_02.xlsx]sectorTable!R33C18</stp>
        <tr r="R33" s="3"/>
      </tp>
      <tp>
        <v>356.13727380536199</v>
        <stp/>
        <stp>##V3_BDPV12</stp>
        <stp>XS2109819859 Corp</stp>
        <stp>yas_ispread</stp>
        <stp>[hybrids_02.xlsx]issuerTable!R69C11</stp>
        <tr r="K69" s="5"/>
      </tp>
      <tp>
        <v>356.13727380536199</v>
        <stp/>
        <stp>##V3_BDPV12</stp>
        <stp>XS2109819859 Corp</stp>
        <stp>yas_ispread</stp>
        <stp>[hybrids_02.xlsx]issuerTable!R70C10</stp>
        <tr r="J70" s="5"/>
      </tp>
      <tp>
        <v>23.661798559366517</v>
        <stp/>
        <stp>##V3_BDPV12</stp>
        <stp>AQ711148 Corp</stp>
        <stp>interval_std_dev</stp>
        <stp>[hybrids_02.xlsx]sectorTable!R37C33</stp>
        <stp>calc_interval=30d</stp>
        <stp>market_data_override=sp210</stp>
        <tr r="AG37" s="3"/>
      </tp>
      <tp>
        <v>12.411916318379058</v>
        <stp/>
        <stp>##V3_BDPV12</stp>
        <stp>BK122273 Corp</stp>
        <stp>interval_std_dev</stp>
        <stp>[hybrids_02.xlsx]sectorTable!R20C33</stp>
        <stp>calc_interval=30d</stp>
        <stp>market_data_override=sp210</stp>
        <tr r="AG20" s="3"/>
      </tp>
      <tp>
        <v>214.51604056760806</v>
        <stp/>
        <stp>##V3_BDPV12</stp>
        <stp>XS1890845875 Corp</stp>
        <stp>yas_ispread</stp>
        <stp>[hybrids_02.xlsx]sectorTable!R33C12</stp>
        <tr r="L33" s="3"/>
      </tp>
      <tp>
        <v>379.42997942797689</v>
        <stp/>
        <stp>##V3_BDPV12</stp>
        <stp>XS1206540806 Corp</stp>
        <stp>yas_ispread</stp>
        <stp>[hybrids_02.xlsx]issuerTable!R4C10</stp>
        <tr r="J4" s="5"/>
      </tp>
      <tp>
        <v>381.39226707444124</v>
        <stp/>
        <stp>##V3_BDPV12</stp>
        <stp>XS1629658755 Corp</stp>
        <stp>yas_ispread</stp>
        <stp>[hybrids_02.xlsx]issuerTable!R4C10</stp>
        <tr r="J4" s="5"/>
      </tp>
      <tp t="s">
        <v>ERFFP 2 7/8 PERP</v>
        <stp/>
        <stp>##V3_BDPV12</stp>
        <stp>ZR457518 Corp</stp>
        <stp>security_name</stp>
        <stp>[hybrids_02.xlsx]sectorTable!R26C5</stp>
        <tr r="E26" s="3"/>
      </tp>
      <tp t="s">
        <v>ORSTED 1 3/4 12/09/19</v>
        <stp/>
        <stp>##V3_BDPV12</stp>
        <stp>ZQ804479 Corp</stp>
        <stp>security_name</stp>
        <stp>[hybrids_02.xlsx]sectorTable!R22C6</stp>
        <tr r="F22" s="3"/>
      </tp>
      <tp>
        <v>46.033742915446474</v>
        <stp/>
        <stp>##V3_BDPV12</stp>
        <stp>AN880322 Corp</stp>
        <stp>interval_std_dev</stp>
        <stp>[hybrids_02.xlsx]sectorTable!R30C33</stp>
        <stp>calc_interval=30d</stp>
        <stp>market_data_override=sp210</stp>
        <tr r="AG30" s="3"/>
      </tp>
      <tp t="s">
        <v>NGGLN 2 1/8 09/05/82</v>
        <stp/>
        <stp>##V3_BDPV12</stp>
        <stp>ZR363807 Corp</stp>
        <stp>security_name</stp>
        <stp>[hybrids_02.xlsx]sectorTable!R19C6</stp>
        <tr r="F19" s="3"/>
      </tp>
      <tp t="s">
        <v>SEVFP 1 5/8 PERP</v>
        <stp/>
        <stp>##V3_BDPV12</stp>
        <stp>ZR441424 Corp</stp>
        <stp>security_name</stp>
        <stp>[hybrids_02.xlsx]sectorTable!R18C6</stp>
        <tr r="F18" s="3"/>
      </tp>
      <tp t="s">
        <v>20/04/2025</v>
        <stp/>
        <stp>##V3_BDPV12</stp>
        <stp>ZP454068 Corp</stp>
        <stp>nxt_call_dt</stp>
        <stp>[hybrids_02.xlsx]sectorTable!R9C8</stp>
        <tr r="H9" s="3"/>
      </tp>
      <tp t="s">
        <v>VW 3 1/2 PERP</v>
        <stp/>
        <stp>##V3_BDPV12</stp>
        <stp>EK811579 Corp</stp>
        <stp>security_name</stp>
        <stp>[hybrids_02.xlsx]sectorTable!R30C6</stp>
        <tr r="F30" s="3"/>
      </tp>
      <tp t="s">
        <v>BBB-</v>
        <stp/>
        <stp>##V3_BDPV12</stp>
        <stp>XS2035564975 Corp</stp>
        <stp>bb_composite</stp>
        <stp>[hybrids_02.xlsx]sectorTable!R24C15</stp>
        <tr r="O24" s="3"/>
      </tp>
      <tp t="s">
        <v>BBB</v>
        <stp/>
        <stp>##V3_BDPV12</stp>
        <stp>XS2011260705 Corp</stp>
        <stp>bb_composite</stp>
        <stp>[hybrids_02.xlsx]sectorTable!R17C16</stp>
        <tr r="P17" s="3"/>
      </tp>
      <tp>
        <v>351.94625452557585</v>
        <stp/>
        <stp>##V3_BDPV12</stp>
        <stp>XS0968913342 Corp</stp>
        <stp>yas_ispread</stp>
        <stp>[hybrids_02.xlsx]issuerTable!R23C11</stp>
        <tr r="K23" s="5"/>
      </tp>
      <tp>
        <v>351.94625452557585</v>
        <stp/>
        <stp>##V3_BDPV12</stp>
        <stp>XS0968913342 Corp</stp>
        <stp>yas_ispread</stp>
        <stp>[hybrids_02.xlsx]issuerTable!R24C10</stp>
        <tr r="J24" s="5"/>
      </tp>
      <tp>
        <v>400.39196720036773</v>
        <stp/>
        <stp>##V3_BDPV12</stp>
        <stp>XS1048428442 Corp</stp>
        <stp>yas_ispread</stp>
        <stp>[hybrids_02.xlsx]issuerTable!R4C10</stp>
        <tr r="J4" s="5"/>
      </tp>
      <tp>
        <v>213.48904851858163</v>
        <stp/>
        <stp>##V3_BDPV12</stp>
        <stp>XS1028599287 Corp</stp>
        <stp>yas_ispread</stp>
        <stp>[hybrids_02.xlsx]sectorTable!R15C11</stp>
        <tr r="K15" s="3"/>
      </tp>
      <tp t="s">
        <v>NGGLN 1 5/8 12/05/79</v>
        <stp/>
        <stp>##V3_BDPV12</stp>
        <stp>ZR363806 Corp</stp>
        <stp>security_name</stp>
        <stp>[hybrids_02.xlsx]sectorTable!R19C5</stp>
        <tr r="E19" s="3"/>
      </tp>
      <tp t="s">
        <v>ORSTED 6 1/4 06/26/13</v>
        <stp/>
        <stp>##V3_BDPV12</stp>
        <stp>EJ723329 Corp</stp>
        <stp>security_name</stp>
        <stp>[hybrids_02.xlsx]sectorTable!R22C5</stp>
        <tr r="E22" s="3"/>
      </tp>
      <tp t="s">
        <v>ULFP 2 1/8 PERP</v>
        <stp/>
        <stp>##V3_BDPV12</stp>
        <stp>AS146424 Corp</stp>
        <stp>security_name</stp>
        <stp>[hybrids_02.xlsx]sectorTable!R39C5</stp>
        <tr r="E39" s="3"/>
      </tp>
      <tp t="s">
        <v>BBB-</v>
        <stp/>
        <stp>##V3_BDPV12</stp>
        <stp>FR0013425170 Corp</stp>
        <stp>bb_composite</stp>
        <stp>[hybrids_02.xlsx]sectorTable!R36C15</stp>
        <tr r="O36" s="3"/>
      </tp>
      <tp t="s">
        <v>BBB-</v>
        <stp/>
        <stp>##V3_BDPV12</stp>
        <stp>XS1721244371 Corp</stp>
        <stp>bb_composite</stp>
        <stp>[hybrids_02.xlsx]sectorTable!R33C15</stp>
        <tr r="O33" s="3"/>
      </tp>
      <tp t="s">
        <v>BBB</v>
        <stp/>
        <stp>##V3_BDPV12</stp>
        <stp>XS1713462403 Corp</stp>
        <stp>bb_composite</stp>
        <stp>[hybrids_02.xlsx]sectorTable!R32C15</stp>
        <tr r="O32" s="3"/>
      </tp>
      <tp>
        <v>367.79825768995835</v>
        <stp/>
        <stp>##V3_BDPV12</stp>
        <stp>XS1731823255 Corp</stp>
        <stp>yas_ispread</stp>
        <stp>[hybrids_02.xlsx]issuerTable!R65C10</stp>
        <tr r="J65" s="5"/>
      </tp>
      <tp>
        <v>367.79825768995835</v>
        <stp/>
        <stp>##V3_BDPV12</stp>
        <stp>XS1731823255 Corp</stp>
        <stp>yas_ispread</stp>
        <stp>[hybrids_02.xlsx]issuerTable!R75C10</stp>
        <tr r="J75" s="5"/>
      </tp>
      <tp>
        <v>367.79825768995835</v>
        <stp/>
        <stp>##V3_BDPV12</stp>
        <stp>XS1731823255 Corp</stp>
        <stp>yas_ispread</stp>
        <stp>[hybrids_02.xlsx]issuerTable!R64C11</stp>
        <tr r="K64" s="5"/>
      </tp>
      <tp>
        <v>347.97327604278416</v>
        <stp/>
        <stp>##V3_BDPV12</stp>
        <stp>XS1490960942 Corp</stp>
        <stp>yas_ispread</stp>
        <stp>[hybrids_02.xlsx]issuerTable!R64C10</stp>
        <tr r="J64" s="5"/>
      </tp>
      <tp>
        <v>425.52170694487688</v>
        <stp/>
        <stp>##V3_BDPV12</stp>
        <stp>XS2187689380 Corp</stp>
        <stp>yas_ispread</stp>
        <stp>[hybrids_02.xlsx]issuerTable!R29C11</stp>
        <tr r="K29" s="5"/>
      </tp>
      <tp>
        <v>425.52170694487688</v>
        <stp/>
        <stp>##V3_BDPV12</stp>
        <stp>XS2187689380 Corp</stp>
        <stp>yas_ispread</stp>
        <stp>[hybrids_02.xlsx]issuerTable!R30C10</stp>
        <tr r="J30" s="5"/>
      </tp>
      <tp>
        <v>425.52170694487688</v>
        <stp/>
        <stp>##V3_BDPV12</stp>
        <stp>XS2187689380 Corp</stp>
        <stp>yas_ispread</stp>
        <stp>[hybrids_02.xlsx]issuerTable!R41C11</stp>
        <tr r="K41" s="5"/>
      </tp>
      <tp>
        <v>55.051073767335197</v>
        <stp/>
        <stp>##V3_BDPV12</stp>
        <stp>AS322477 Corp</stp>
        <stp>interval_std_dev</stp>
        <stp>[hybrids_02.xlsx]sectorTable!R25C33</stp>
        <stp>calc_interval=30d</stp>
        <stp>market_data_override=sp210</stp>
        <tr r="AG25" s="3"/>
      </tp>
      <tp t="s">
        <v>ERFFP 3 1/4 PERP</v>
        <stp/>
        <stp>##V3_BDPV12</stp>
        <stp>AP809058 Corp</stp>
        <stp>security_name</stp>
        <stp>[hybrids_02.xlsx]sectorTable!R26C6</stp>
        <tr r="F26" s="3"/>
      </tp>
      <tp t="s">
        <v>ENGIFP 1 3/8 PERP</v>
        <stp/>
        <stp>##V3_BDPV12</stp>
        <stp>AQ711148 Corp</stp>
        <stp>security_name</stp>
        <stp>[hybrids_02.xlsx]sectorTable!R37C5</stp>
        <tr r="E37" s="3"/>
      </tp>
      <tp t="s">
        <v>BBB-</v>
        <stp/>
        <stp>##V3_BDPV12</stp>
        <stp>FR0013478252 Corp</stp>
        <stp>bb_composite</stp>
        <stp>[hybrids_02.xlsx]sectorTable!R36C16</stp>
        <tr r="P36" s="3"/>
      </tp>
      <tp t="s">
        <v>BB+</v>
        <stp/>
        <stp>##V3_BDPV12</stp>
        <stp>XS2077670342 Corp</stp>
        <stp>bb_composite</stp>
        <stp>[hybrids_02.xlsx]sectorTable!R14C16</stp>
        <tr r="P14" s="3"/>
      </tp>
      <tp t="s">
        <v>EUR</v>
        <stp/>
        <stp>##V3_BDPV12</stp>
        <stp>XS1219499032 Corp</stp>
        <stp>crncy</stp>
        <stp>[hybrids_02.xlsx]sectorTable!R38C18</stp>
        <tr r="R38" s="3"/>
      </tp>
      <tp>
        <v>20.247664162732406</v>
        <stp/>
        <stp>##V3_BDPV12</stp>
        <stp>EK821917 Corp</stp>
        <stp>interval_std_dev</stp>
        <stp>[hybrids_02.xlsx]sectorTable!R18C33</stp>
        <stp>calc_interval=30d</stp>
        <stp>market_data_override=sp210</stp>
        <tr r="AG18" s="3"/>
      </tp>
      <tp t="s">
        <v>BB+</v>
        <stp/>
        <stp>##V3_BDPV12</stp>
        <stp>FR0013367612 Corp</stp>
        <stp>bb_composite</stp>
        <stp>[hybrids_02.xlsx]sectorTable!R11C15</stp>
        <tr r="O11" s="3"/>
      </tp>
    </main>
    <main first="bloomberg.rtd">
      <tp t="s">
        <v>EUR</v>
        <stp/>
        <stp>##V3_BDPV12</stp>
        <stp>XS1219498141 Corp</stp>
        <stp>crncy</stp>
        <stp>[hybrids_02.xlsx]sectorTable!R38C17</stp>
        <tr r="Q38" s="3"/>
      </tp>
      <tp>
        <v>420.630072284883</v>
        <stp/>
        <stp>##V3_BDPV12</stp>
        <stp>XS1799939027 Corp</stp>
        <stp>yas_ispread</stp>
        <stp>[hybrids_02.xlsx]issuerTable!R29C10</stp>
        <tr r="J29" s="5"/>
      </tp>
      <tp>
        <v>420.630072284883</v>
        <stp/>
        <stp>##V3_BDPV12</stp>
        <stp>XS1799939027 Corp</stp>
        <stp>yas_ispread</stp>
        <stp>[hybrids_02.xlsx]issuerTable!R28C11</stp>
        <tr r="K28" s="5"/>
      </tp>
      <tp>
        <v>420.630072284883</v>
        <stp/>
        <stp>##V3_BDPV12</stp>
        <stp>XS1799939027 Corp</stp>
        <stp>yas_ispread</stp>
        <stp>[hybrids_02.xlsx]issuerTable!R40C11</stp>
        <tr r="K40" s="5"/>
      </tp>
      <tp>
        <v>373.18025942207112</v>
        <stp/>
        <stp>##V3_BDPV12</stp>
        <stp>XS1933828433 Corp</stp>
        <stp>yas_ispread</stp>
        <stp>[hybrids_02.xlsx]issuerTable!R67C11</stp>
        <tr r="K67" s="5"/>
      </tp>
      <tp>
        <v>373.18025942207112</v>
        <stp/>
        <stp>##V3_BDPV12</stp>
        <stp>XS1933828433 Corp</stp>
        <stp>yas_ispread</stp>
        <stp>[hybrids_02.xlsx]issuerTable!R68C10</stp>
        <tr r="J68" s="5"/>
      </tp>
      <tp>
        <v>25.297158415161444</v>
        <stp/>
        <stp>##V3_BDPV12</stp>
        <stp>AU654481 Corp</stp>
        <stp>interval_std_dev</stp>
        <stp>[hybrids_02.xlsx]sectorTable!R35C33</stp>
        <stp>calc_interval=30d</stp>
        <stp>market_data_override=sp210</stp>
        <tr r="AG35" s="3"/>
      </tp>
      <tp t="s">
        <v>EUR</v>
        <stp/>
        <stp>##V3_BDPV12</stp>
        <stp>XS1115498260 Corp</stp>
        <stp>crncy</stp>
        <stp>[hybrids_02.xlsx]sectorTable!R15C18</stp>
        <tr r="R15" s="3"/>
      </tp>
      <tp>
        <v>351.94625452557585</v>
        <stp/>
        <stp>##V3_BDPV12</stp>
        <stp>XS0968913342 Corp</stp>
        <stp>yas_ispread</stp>
        <stp>[hybrids_02.xlsx]issuerTable!R4C10</stp>
        <tr r="J4" s="5"/>
      </tp>
      <tp>
        <v>409.44084722410611</v>
        <stp/>
        <stp>##V3_BDPV12</stp>
        <stp>XS1629774230 Corp</stp>
        <stp>yas_ispread</stp>
        <stp>[hybrids_02.xlsx]issuerTable!R4C10</stp>
        <tr r="J4" s="5"/>
      </tp>
      <tp t="s">
        <v>IFXGR 2 7/8 PERP</v>
        <stp/>
        <stp>##V3_BDPV12</stp>
        <stp>ZR796682 Corp</stp>
        <stp>security_name</stp>
        <stp>[hybrids_02.xlsx]sectorTable!R27C5</stp>
        <tr r="E27" s="3"/>
      </tp>
      <tp t="s">
        <v>IFXGR 3 5/8 PERP</v>
        <stp/>
        <stp>##V3_BDPV12</stp>
        <stp>ZR796862 Corp</stp>
        <stp>security_name</stp>
        <stp>[hybrids_02.xlsx]sectorTable!R27C6</stp>
        <tr r="F27" s="3"/>
      </tp>
      <tp t="s">
        <v>A-</v>
        <stp/>
        <stp>##V3_BDPV12</stp>
        <stp>XS1501167164 Corp</stp>
        <stp>bb_composite</stp>
        <stp>[hybrids_02.xlsx]sectorTable!R28C15</stp>
        <tr r="O28" s="3"/>
      </tp>
      <tp t="s">
        <v>BBB</v>
        <stp/>
        <stp>##V3_BDPV12</stp>
        <stp>XS2011260531 Corp</stp>
        <stp>bb_composite</stp>
        <stp>[hybrids_02.xlsx]sectorTable!R17C15</stp>
        <tr r="O17" s="3"/>
      </tp>
      <tp t="s">
        <v>BBB-</v>
        <stp/>
        <stp>##V3_BDPV12</stp>
        <stp>XS1713463716 Corp</stp>
        <stp>bb_composite</stp>
        <stp>[hybrids_02.xlsx]sectorTable!R13C15</stp>
        <tr r="O13" s="3"/>
      </tp>
      <tp t="s">
        <v>EUR</v>
        <stp/>
        <stp>##V3_BDPV12</stp>
        <stp>XS1294343337 Corp</stp>
        <stp>crncy</stp>
        <stp>[hybrids_02.xlsx]sectorTable!R32C18</stp>
        <tr r="R32" s="3"/>
      </tp>
      <tp>
        <v>10.028668244887248</v>
        <stp/>
        <stp>##V3_BDPV12</stp>
        <stp>EJ723329 Corp</stp>
        <stp>interval_std_dev</stp>
        <stp>[hybrids_02.xlsx]sectorTable!R22C33</stp>
        <stp>calc_interval=30d</stp>
        <stp>market_data_override=sp210</stp>
        <tr r="AG22" s="3"/>
      </tp>
      <tp>
        <v>232.80150999774713</v>
        <stp/>
        <stp>##V3_BDPV12</stp>
        <stp>XS1048428012 Corp</stp>
        <stp>yas_ispread</stp>
        <stp>[hybrids_02.xlsx]issuerTable!R4C10</stp>
        <tr r="J4" s="5"/>
      </tp>
      <tp t="s">
        <v>DBOERS 2 3/4 02/05/41</v>
        <stp/>
        <stp>##V3_BDPV12</stp>
        <stp>UV391246 Corp</stp>
        <stp>security_name</stp>
        <stp>[hybrids_02.xlsx]sectorTable!R12C5</stp>
        <tr r="E12" s="3"/>
      </tp>
      <tp t="s">
        <v>CPIPGR 4 7/8 PERP</v>
        <stp/>
        <stp>##V3_BDPV12</stp>
        <stp>ZS108668 Corp</stp>
        <stp>security_name</stp>
        <stp>[hybrids_02.xlsx]sectorTable!R25C6</stp>
        <tr r="F25" s="3"/>
      </tp>
      <tp t="s">
        <v>BERTEL 3 04/23/75</v>
        <stp/>
        <stp>##V3_BDPV12</stp>
        <stp>EK848378 Corp</stp>
        <stp>security_name</stp>
        <stp>[hybrids_02.xlsx]sectorTable!R31C5</stp>
        <tr r="E31" s="3"/>
      </tp>
      <tp t="s">
        <v>SEVFP 2 1/2 PERP</v>
        <stp/>
        <stp>##V3_BDPV12</stp>
        <stp>EK821917 Corp</stp>
        <stp>security_name</stp>
        <stp>[hybrids_02.xlsx]sectorTable!R18C5</stp>
        <tr r="E18" s="3"/>
      </tp>
      <tp t="s">
        <v>ULFP 2 7/8 PERP</v>
        <stp/>
        <stp>##V3_BDPV12</stp>
        <stp>AS146490 Corp</stp>
        <stp>security_name</stp>
        <stp>[hybrids_02.xlsx]sectorTable!R39C6</stp>
        <tr r="F39" s="3"/>
      </tp>
      <tp t="s">
        <v>EUR</v>
        <stp/>
        <stp>##V3_BDPV12</stp>
        <stp>XS1028599287 Corp</stp>
        <stp>crncy</stp>
        <stp>[hybrids_02.xlsx]sectorTable!R15C17</stp>
        <tr r="Q15" s="3"/>
      </tp>
      <tp>
        <v>23.857378989864124</v>
        <stp/>
        <stp>##V3_BDPV12</stp>
        <stp>AR936992 Corp</stp>
        <stp>interval_std_dev</stp>
        <stp>[hybrids_02.xlsx]sectorTable!R16C33</stp>
        <stp>calc_interval=30d</stp>
        <stp>market_data_override=sp210</stp>
        <tr r="AG16" s="3"/>
      </tp>
      <tp>
        <v>83.924612570161599</v>
        <stp/>
        <stp>##V3_BDPV12</stp>
        <stp>AS146424 Corp</stp>
        <stp>interval_std_dev</stp>
        <stp>[hybrids_02.xlsx]sectorTable!R39C33</stp>
        <stp>calc_interval=30d</stp>
        <stp>market_data_override=sp210</stp>
        <tr r="AG39" s="3"/>
      </tp>
      <tp>
        <v>24.38823898108517</v>
        <stp/>
        <stp>##V3_BDPV12</stp>
        <stp>EK352403 Corp</stp>
        <stp>interval_std_dev</stp>
        <stp>[hybrids_02.xlsx]sectorTable!R14C33</stp>
        <stp>calc_interval=30d</stp>
        <stp>market_data_override=sp210</stp>
        <tr r="AG14" s="3"/>
      </tp>
      <tp>
        <v>420.630072284883</v>
        <stp/>
        <stp>##V3_BDPV12</stp>
        <stp>XS1799939027 Corp</stp>
        <stp>yas_ispread</stp>
        <stp>[hybrids_02.xlsx]issuerTable!R4C10</stp>
        <tr r="J4" s="5"/>
      </tp>
      <tp t="s">
        <v>TELIAS 3 04/04/78</v>
        <stp/>
        <stp>##V3_BDPV12</stp>
        <stp>AM938782 Corp</stp>
        <stp>security_name</stp>
        <stp>[hybrids_02.xlsx]sectorTable!R23C5</stp>
        <tr r="E23" s="3"/>
      </tp>
      <tp t="s">
        <v>BAYNGR 3 3/4 07/01/74</v>
        <stp/>
        <stp>##V3_BDPV12</stp>
        <stp>EK352403 Corp</stp>
        <stp>security_name</stp>
        <stp>[hybrids_02.xlsx]sectorTable!R14C5</stp>
        <tr r="E14" s="3"/>
      </tp>
      <tp t="s">
        <v>BPLN 3 5/8 PERP</v>
        <stp/>
        <stp>##V3_BDPV12</stp>
        <stp>BK123260 Corp</stp>
        <stp>security_name</stp>
        <stp>[hybrids_02.xlsx]sectorTable!R20C6</stp>
        <tr r="F20" s="3"/>
      </tp>
      <tp t="s">
        <v>BBB-</v>
        <stp/>
        <stp>##V3_BDPV12</stp>
        <stp>XS1890845875 Corp</stp>
        <stp>bb_composite</stp>
        <stp>[hybrids_02.xlsx]sectorTable!R33C16</stp>
        <tr r="P33" s="3"/>
      </tp>
      <tp t="s">
        <v>BB</v>
        <stp/>
        <stp>##V3_BDPV12</stp>
        <stp>XS1219499032 Corp</stp>
        <stp>bb_composite</stp>
        <stp>[hybrids_02.xlsx]sectorTable!R38C16</stp>
        <tr r="P38" s="3"/>
      </tp>
      <tp>
        <v>401.57907944186633</v>
        <stp/>
        <stp>##V3_BDPV12</stp>
        <stp>XS2187689034 Corp</stp>
        <stp>yas_ispread</stp>
        <stp>[hybrids_02.xlsx]issuerTable!R25C11</stp>
        <tr r="K25" s="5"/>
      </tp>
      <tp>
        <v>401.57907944186633</v>
        <stp/>
        <stp>##V3_BDPV12</stp>
        <stp>XS2187689034 Corp</stp>
        <stp>yas_ispread</stp>
        <stp>[hybrids_02.xlsx]issuerTable!R26C10</stp>
        <tr r="J26" s="5"/>
      </tp>
      <tp>
        <v>212.14032647646678</v>
        <stp/>
        <stp>##V3_BDPV12</stp>
        <stp>XS1501167164 Corp</stp>
        <stp>yas_ispread</stp>
        <stp>[hybrids_02.xlsx]sectorTable!R28C11</stp>
        <tr r="K28" s="3"/>
      </tp>
      <tp>
        <v>286.81303879528588</v>
        <stp/>
        <stp>##V3_BDPV12</stp>
        <stp>XS1219499032 Corp</stp>
        <stp>yas_ispread</stp>
        <stp>[hybrids_02.xlsx]sectorTable!R38C12</stp>
        <tr r="L38" s="3"/>
      </tp>
      <tp>
        <v>236.96130881618359</v>
        <stp/>
        <stp>##V3_BDPV12</stp>
        <stp>XS1501166869 Corp</stp>
        <stp>yas_ispread</stp>
        <stp>[hybrids_02.xlsx]sectorTable!R28C12</stp>
        <tr r="L28" s="3"/>
      </tp>
      <tp t="s">
        <v>NTGYSM 3 3/8 PERP</v>
        <stp/>
        <stp>##V3_BDPV12</stp>
        <stp>EK872764 Corp</stp>
        <stp>security_name</stp>
        <stp>[hybrids_02.xlsx]sectorTable!R10C6</stp>
        <tr r="F10" s="3"/>
      </tp>
      <tp t="s">
        <v>ENGIFP 1 5/8 PERP</v>
        <stp/>
        <stp>##V3_BDPV12</stp>
        <stp>AZ371883 Corp</stp>
        <stp>security_name</stp>
        <stp>[hybrids_02.xlsx]sectorTable!R37C6</stp>
        <tr r="F37" s="3"/>
      </tp>
      <tp t="s">
        <v>BBB-</v>
        <stp/>
        <stp>##V3_BDPV12</stp>
        <stp>XS1115498260 Corp</stp>
        <stp>bb_composite</stp>
        <stp>[hybrids_02.xlsx]sectorTable!R15C16</stp>
        <tr r="P15" s="3"/>
      </tp>
      <tp t="s">
        <v>BBB-</v>
        <stp/>
        <stp>##V3_BDPV12</stp>
        <stp>XS1713463559 Corp</stp>
        <stp>bb_composite</stp>
        <stp>[hybrids_02.xlsx]sectorTable!R13C16</stp>
        <tr r="P13" s="3"/>
      </tp>
      <tp>
        <v>361.1019011585168</v>
        <stp/>
        <stp>##V3_BDPV12</stp>
        <stp>XS1050461034 Corp</stp>
        <stp>yas_ispread</stp>
        <stp>[hybrids_02.xlsx]issuerTable!R67C10</stp>
        <tr r="J67" s="5"/>
      </tp>
      <tp>
        <v>361.1019011585168</v>
        <stp/>
        <stp>##V3_BDPV12</stp>
        <stp>XS1050461034 Corp</stp>
        <stp>yas_ispread</stp>
        <stp>[hybrids_02.xlsx]issuerTable!R78C10</stp>
        <tr r="J78" s="5"/>
      </tp>
      <tp>
        <v>361.1019011585168</v>
        <stp/>
        <stp>##V3_BDPV12</stp>
        <stp>XS1050461034 Corp</stp>
        <stp>yas_ispread</stp>
        <stp>[hybrids_02.xlsx]issuerTable!R66C11</stp>
        <tr r="K66" s="5"/>
      </tp>
      <tp>
        <v>28.283114654230275</v>
        <stp/>
        <stp>##V3_BDPV12</stp>
        <stp>AR738776 Corp</stp>
        <stp>interval_std_dev</stp>
        <stp>[hybrids_02.xlsx]sectorTable!R34C33</stp>
        <stp>calc_interval=30d</stp>
        <stp>market_data_override=sp210</stp>
        <tr r="AG34" s="3"/>
      </tp>
      <tp>
        <v>22.844172669591867</v>
        <stp/>
        <stp>##V3_BDPV12</stp>
        <stp>AM938782 Corp</stp>
        <stp>interval_std_dev</stp>
        <stp>[hybrids_02.xlsx]sectorTable!R23C33</stp>
        <stp>calc_interval=30d</stp>
        <stp>market_data_override=sp210</stp>
        <tr r="AG23" s="3"/>
      </tp>
      <tp>
        <v>401.57907944186633</v>
        <stp/>
        <stp>##V3_BDPV12</stp>
        <stp>XS2187689034 Corp</stp>
        <stp>yas_ispread</stp>
        <stp>[hybrids_02.xlsx]issuerTable!R4C10</stp>
        <tr r="J4" s="5"/>
      </tp>
      <tp t="s">
        <v>SBBBSS 4 5/8 PERP</v>
        <stp/>
        <stp>##V3_BDPV12</stp>
        <stp>ZS235422 Corp</stp>
        <stp>security_name</stp>
        <stp>[hybrids_02.xlsx]sectorTable!R21C5</stp>
        <tr r="E21" s="3"/>
      </tp>
      <tp t="s">
        <v>DBHNGR 0.95 PERP</v>
        <stp/>
        <stp>##V3_BDPV12</stp>
        <stp>ZQ099270 Corp</stp>
        <stp>security_name</stp>
        <stp>[hybrids_02.xlsx]sectorTable!R29C5</stp>
        <tr r="E29" s="3"/>
      </tp>
      <tp t="s">
        <v>CPIPGR 4 3/8 PERP</v>
        <stp/>
        <stp>##V3_BDPV12</stp>
        <stp>AS322477 Corp</stp>
        <stp>security_name</stp>
        <stp>[hybrids_02.xlsx]sectorTable!R25C5</stp>
        <tr r="E25" s="3"/>
      </tp>
      <tp>
        <v>409.44084722410611</v>
        <stp/>
        <stp>##V3_BDPV12</stp>
        <stp>XS1629774230 Corp</stp>
        <stp>yas_ispread</stp>
        <stp>[hybrids_02.xlsx]issuerTable!R28C10</stp>
        <tr r="J28" s="5"/>
      </tp>
      <tp>
        <v>409.44084722410611</v>
        <stp/>
        <stp>##V3_BDPV12</stp>
        <stp>XS1629774230 Corp</stp>
        <stp>yas_ispread</stp>
        <stp>[hybrids_02.xlsx]issuerTable!R27C11</stp>
        <tr r="K27" s="5"/>
      </tp>
      <tp t="s">
        <v>EUR</v>
        <stp/>
        <stp>##V3_BDPV12</stp>
        <stp>XS1501166869 Corp</stp>
        <stp>crncy</stp>
        <stp>[hybrids_02.xlsx]sectorTable!R28C18</stp>
        <tr r="R28" s="3"/>
      </tp>
      <tp t="s">
        <v>EUR</v>
        <stp/>
        <stp>##V3_BDPV12</stp>
        <stp>XS1721244371 Corp</stp>
        <stp>crncy</stp>
        <stp>[hybrids_02.xlsx]sectorTable!R33C17</stp>
        <tr r="Q33" s="3"/>
      </tp>
      <tp>
        <v>357.50887889874906</v>
        <stp/>
        <stp>##V3_BDPV12</stp>
        <stp>FR0011697028 Corp</stp>
        <stp>yas_ispread</stp>
        <stp>[hybrids_02.xlsx]sectorTable!R11C12</stp>
        <tr r="L11" s="3"/>
      </tp>
      <tp>
        <v>425.52170694487688</v>
        <stp/>
        <stp>##V3_BDPV12</stp>
        <stp>XS2187689380 Corp</stp>
        <stp>yas_ispread</stp>
        <stp>[hybrids_02.xlsx]issuerTable!R4C10</stp>
        <tr r="J4" s="5"/>
      </tp>
      <tp>
        <v>213.05160684913224</v>
        <stp/>
        <stp>##V3_BDPV12</stp>
        <stp>XS1721244371 Corp</stp>
        <stp>yas_ispread</stp>
        <stp>[hybrids_02.xlsx]sectorTable!R33C11</stp>
        <tr r="K33" s="3"/>
      </tp>
      <tp>
        <v>269.84863898480842</v>
        <stp/>
        <stp>##V3_BDPV12</stp>
        <stp>XS1713463716 Corp</stp>
        <stp>yas_ispread</stp>
        <stp>[hybrids_02.xlsx]sectorTable!R13C11</stp>
        <tr r="K13" s="3"/>
      </tp>
      <tp t="s">
        <v>DBHNGR 1.6 PERP</v>
        <stp/>
        <stp>##V3_BDPV12</stp>
        <stp>ZQ100348 Corp</stp>
        <stp>security_name</stp>
        <stp>[hybrids_02.xlsx]sectorTable!R29C6</stp>
        <tr r="F29" s="3"/>
      </tp>
      <tp t="s">
        <v>TELEFO 3 PERP</v>
        <stp/>
        <stp>##V3_BDPV12</stp>
        <stp>AR738776 Corp</stp>
        <stp>security_name</stp>
        <stp>[hybrids_02.xlsx]sectorTable!R34C5</stp>
        <tr r="E34" s="3"/>
      </tp>
      <tp t="s">
        <v>VOD 3.1 01/03/79</v>
        <stp/>
        <stp>##V3_BDPV12</stp>
        <stp>AU654481 Corp</stp>
        <stp>security_name</stp>
        <stp>[hybrids_02.xlsx]sectorTable!R35C5</stp>
        <tr r="E35" s="3"/>
      </tp>
      <tp t="s">
        <v>BPLN 3 1/4 PERP</v>
        <stp/>
        <stp>##V3_BDPV12</stp>
        <stp>BK122273 Corp</stp>
        <stp>security_name</stp>
        <stp>[hybrids_02.xlsx]sectorTable!R20C5</stp>
        <tr r="E20" s="3"/>
      </tp>
      <tp t="s">
        <v>BB</v>
        <stp/>
        <stp>##V3_BDPV12</stp>
        <stp>XS1219498141 Corp</stp>
        <stp>bb_composite</stp>
        <stp>[hybrids_02.xlsx]sectorTable!R38C15</stp>
        <tr r="O38" s="3"/>
      </tp>
      <tp t="s">
        <v>A-</v>
        <stp/>
        <stp>##V3_BDPV12</stp>
        <stp>XS1501166869 Corp</stp>
        <stp>bb_composite</stp>
        <stp>[hybrids_02.xlsx]sectorTable!R28C16</stp>
        <tr r="P28" s="3"/>
      </tp>
      <tp>
        <v>379.42997942797689</v>
        <stp/>
        <stp>##V3_BDPV12</stp>
        <stp>XS1206540806 Corp</stp>
        <stp>yas_ispread</stp>
        <stp>[hybrids_02.xlsx]issuerTable!R22C10</stp>
        <tr r="J22" s="5"/>
      </tp>
      <tp>
        <v>379.42997942797689</v>
        <stp/>
        <stp>##V3_BDPV12</stp>
        <stp>XS1206540806 Corp</stp>
        <stp>yas_ispread</stp>
        <stp>[hybrids_02.xlsx]issuerTable!R21C11</stp>
        <tr r="K21" s="5"/>
      </tp>
      <tp>
        <v>379.42997942797689</v>
        <stp/>
        <stp>##V3_BDPV12</stp>
        <stp>XS1206540806 Corp</stp>
        <stp>yas_ispread</stp>
        <stp>[hybrids_02.xlsx]issuerTable!R40C10</stp>
        <tr r="J40" s="5"/>
      </tp>
      <tp>
        <v>232.80150999774713</v>
        <stp/>
        <stp>##V3_BDPV12</stp>
        <stp>XS1048428012 Corp</stp>
        <stp>yas_ispread</stp>
        <stp>[hybrids_02.xlsx]issuerTable!R21C10</stp>
        <tr r="J21" s="5"/>
      </tp>
      <tp t="s">
        <v>EUR</v>
        <stp/>
        <stp>##V3_BDPV12</stp>
        <stp>XS2035564975 Corp</stp>
        <stp>crncy</stp>
        <stp>[hybrids_02.xlsx]sectorTable!R24C17</stp>
        <tr r="Q24" s="3"/>
      </tp>
      <tp t="s">
        <v>EUR</v>
        <stp/>
        <stp>##V3_BDPV12</stp>
        <stp>XS2035564629 Corp</stp>
        <stp>crncy</stp>
        <stp>[hybrids_02.xlsx]sectorTable!R24C18</stp>
        <tr r="R24" s="3"/>
      </tp>
      <tp t="s">
        <v>EUR</v>
        <stp/>
        <stp>##V3_BDPV12</stp>
        <stp>XS1501167164 Corp</stp>
        <stp>crncy</stp>
        <stp>[hybrids_02.xlsx]sectorTable!R28C17</stp>
        <tr r="Q28" s="3"/>
      </tp>
      <tp t="s">
        <v>EUR</v>
        <stp/>
        <stp>##V3_BDPV12</stp>
        <stp>XS2077670342 Corp</stp>
        <stp>crncy</stp>
        <stp>[hybrids_02.xlsx]sectorTable!R14C18</stp>
        <tr r="R14" s="3"/>
      </tp>
      <tp>
        <v>294.91114796592603</v>
        <stp/>
        <stp>##V3_BDPV12</stp>
        <stp>XS1713462403 Corp</stp>
        <stp>yas_ispread</stp>
        <stp>[hybrids_02.xlsx]sectorTable!R32C11</stp>
        <tr r="K32" s="3"/>
      </tp>
      <tp>
        <v>232.76921308114501</v>
        <stp/>
        <stp>##V3_BDPV12</stp>
        <stp>XS2035564629 Corp</stp>
        <stp>yas_ispread</stp>
        <stp>[hybrids_02.xlsx]sectorTable!R24C12</stp>
        <tr r="L24" s="3"/>
      </tp>
      <tp>
        <v>398.55349865938547</v>
        <stp/>
        <stp>##V3_BDPV12</stp>
        <stp>XS1206541366 Corp</stp>
        <stp>yas_ispread</stp>
        <stp>[hybrids_02.xlsx]issuerTable!R4C10</stp>
        <tr r="J4" s="5"/>
      </tp>
      <tp t="s">
        <v>SBBBSS 2.624 PERP</v>
        <stp/>
        <stp>##V3_BDPV12</stp>
        <stp>ZP659512 Corp</stp>
        <stp>security_name</stp>
        <stp>[hybrids_02.xlsx]sectorTable!R21C6</stp>
        <tr r="F21" s="3"/>
      </tp>
      <tp>
        <v>325.07721193414682</v>
        <stp/>
        <stp>##V3_BDPV12</stp>
        <stp>FR0013367612 Corp</stp>
        <stp>yas_ispread</stp>
        <stp>[hybrids_02.xlsx]sectorTable!R11C11</stp>
        <tr r="K11" s="3"/>
      </tp>
      <tp t="s">
        <v>TELIAS 1 3/8 05/11/81</v>
        <stp/>
        <stp>##V3_BDPV12</stp>
        <stp>ZP870673 Corp</stp>
        <stp>security_name</stp>
        <stp>[hybrids_02.xlsx]sectorTable!R23C6</stp>
        <tr r="F23" s="3"/>
      </tp>
      <tp t="s">
        <v>AKFAST 2.249 05/17/81</v>
        <stp/>
        <stp>##V3_BDPV12</stp>
        <stp>ZP989429 Corp</stp>
        <stp>security_name</stp>
        <stp>[hybrids_02.xlsx]sectorTable!R16C6</stp>
        <tr r="F16" s="3"/>
      </tp>
      <tp t="s">
        <v>AKFAST 3 7/8 10/05/78</v>
        <stp/>
        <stp>##V3_BDPV12</stp>
        <stp>AR936992 Corp</stp>
        <stp>security_name</stp>
        <stp>[hybrids_02.xlsx]sectorTable!R16C5</stp>
        <tr r="E16" s="3"/>
      </tp>
      <tp t="s">
        <v>BERTEL 3 1/2 04/23/75</v>
        <stp/>
        <stp>##V3_BDPV12</stp>
        <stp>EK864970 Corp</stp>
        <stp>security_name</stp>
        <stp>[hybrids_02.xlsx]sectorTable!R31C6</stp>
        <tr r="F31" s="3"/>
      </tp>
      <tp>
        <v>398.55349865938547</v>
        <stp/>
        <stp>##V3_BDPV12</stp>
        <stp>XS1206541366 Corp</stp>
        <stp>yas_ispread</stp>
        <stp>[hybrids_02.xlsx]issuerTable!R30C11</stp>
        <tr r="K30" s="5"/>
      </tp>
      <tp>
        <v>398.55349865938547</v>
        <stp/>
        <stp>##V3_BDPV12</stp>
        <stp>XS1206541366 Corp</stp>
        <stp>yas_ispread</stp>
        <stp>[hybrids_02.xlsx]issuerTable!R43C11</stp>
        <tr r="K43" s="5"/>
      </tp>
      <tp>
        <v>376.27144556373077</v>
        <stp/>
        <stp>##V3_BDPV12</stp>
        <stp>XS1795406575 Corp</stp>
        <stp>yas_ispread</stp>
        <stp>[hybrids_02.xlsx]issuerTable!R65C11</stp>
        <tr r="K65" s="5"/>
      </tp>
      <tp>
        <v>376.27144556373077</v>
        <stp/>
        <stp>##V3_BDPV12</stp>
        <stp>XS1795406575 Corp</stp>
        <stp>yas_ispread</stp>
        <stp>[hybrids_02.xlsx]issuerTable!R76C10</stp>
        <tr r="J76" s="5"/>
      </tp>
      <tp>
        <v>376.27144556373077</v>
        <stp/>
        <stp>##V3_BDPV12</stp>
        <stp>XS1795406575 Corp</stp>
        <stp>yas_ispread</stp>
        <stp>[hybrids_02.xlsx]issuerTable!R66C10</stp>
        <tr r="J66" s="5"/>
      </tp>
      <tp>
        <v>382.25833678682505</v>
        <stp/>
        <stp>##V3_BDPV12</stp>
        <stp>XS2056371334 Corp</stp>
        <stp>yas_ispread</stp>
        <stp>[hybrids_02.xlsx]issuerTable!R78C11</stp>
        <tr r="K78" s="5"/>
      </tp>
      <tp>
        <v>382.25833678682505</v>
        <stp/>
        <stp>##V3_BDPV12</stp>
        <stp>XS2056371334 Corp</stp>
        <stp>yas_ispread</stp>
        <stp>[hybrids_02.xlsx]issuerTable!R70C11</stp>
        <tr r="K70" s="5"/>
      </tp>
      <tp>
        <v>382.25833678682505</v>
        <stp/>
        <stp>##V3_BDPV12</stp>
        <stp>XS2056371334 Corp</stp>
        <stp>yas_ispread</stp>
        <stp>[hybrids_02.xlsx]issuerTable!R76C11</stp>
        <tr r="K76" s="5"/>
      </tp>
      <tp>
        <v>381.39226707444124</v>
        <stp/>
        <stp>##V3_BDPV12</stp>
        <stp>XS1629658755 Corp</stp>
        <stp>yas_ispread</stp>
        <stp>[hybrids_02.xlsx]issuerTable!R23C10</stp>
        <tr r="J23" s="5"/>
      </tp>
      <tp>
        <v>381.39226707444124</v>
        <stp/>
        <stp>##V3_BDPV12</stp>
        <stp>XS1629658755 Corp</stp>
        <stp>yas_ispread</stp>
        <stp>[hybrids_02.xlsx]issuerTable!R22C11</stp>
        <tr r="K22" s="5"/>
      </tp>
      <tp>
        <v>381.39226707444124</v>
        <stp/>
        <stp>##V3_BDPV12</stp>
        <stp>XS1629658755 Corp</stp>
        <stp>yas_ispread</stp>
        <stp>[hybrids_02.xlsx]issuerTable!R41C10</stp>
        <tr r="J41" s="5"/>
      </tp>
      <tp t="s">
        <v>EUR</v>
        <stp/>
        <stp>##V3_BDPV12</stp>
        <stp>XS2011260705 Corp</stp>
        <stp>crncy</stp>
        <stp>[hybrids_02.xlsx]sectorTable!R17C18</stp>
        <tr r="R17" s="3"/>
      </tp>
      <tp t="s">
        <v>EUR</v>
        <stp/>
        <stp>##V3_BDPV12</stp>
        <stp>XS2011260531 Corp</stp>
        <stp>crncy</stp>
        <stp>[hybrids_02.xlsx]sectorTable!R17C17</stp>
        <tr r="Q17" s="3"/>
      </tp>
      <tp>
        <v>300.5382049231369</v>
        <stp/>
        <stp>##V3_BDPV12</stp>
        <stp>FR0013425170 Corp</stp>
        <stp>yas_ispread</stp>
        <stp>[hybrids_02.xlsx]sectorTable!R36C11</stp>
        <tr r="K36" s="3"/>
      </tp>
      <tp>
        <v>34.285617416750469</v>
        <stp/>
        <stp>##V3_BDPV12</stp>
        <stp>EK848378 Corp</stp>
        <stp>interval_std_dev</stp>
        <stp>[hybrids_02.xlsx]sectorTable!R31C33</stp>
        <stp>calc_interval=30d</stp>
        <stp>market_data_override=sp210</stp>
        <tr r="AG31" s="3"/>
      </tp>
      <tp>
        <v>194.08227869092465</v>
        <stp/>
        <stp>##V3_BDPV12</stp>
        <stp>XS2011260531 Corp</stp>
        <stp>yas_ispread</stp>
        <stp>[hybrids_02.xlsx]sectorTable!R17C11</stp>
        <tr r="K17" s="3"/>
      </tp>
      <tp>
        <v>20.25539418868259</v>
        <stp/>
        <stp>##V3_BDPV12</stp>
        <stp>EK588292 Corp</stp>
        <stp>interval_std_dev</stp>
        <stp>[hybrids_02.xlsx]sectorTable!R10C33</stp>
        <stp>calc_interval=30d</stp>
        <stp>market_data_override=sp210</stp>
        <tr r="AG10" s="3"/>
      </tp>
      <tp>
        <v>245.33404795369057</v>
        <stp/>
        <stp>##V3_BDPV12</stp>
        <stp>XS1115498260 Corp</stp>
        <stp>yas_ispread</stp>
        <stp>[hybrids_02.xlsx]sectorTable!R15C12</stp>
        <tr r="L15" s="3"/>
      </tp>
      <tp t="s">
        <v>TELEFO 2 7/8 PERP</v>
        <stp/>
        <stp>##V3_BDPV12</stp>
        <stp>ZR655675 Corp</stp>
        <stp>security_name</stp>
        <stp>[hybrids_02.xlsx]sectorTable!R34C6</stp>
        <tr r="F34" s="3"/>
      </tp>
      <tp t="s">
        <v>VOD 4.2 10/03/78</v>
        <stp/>
        <stp>##V3_BDPV12</stp>
        <stp>AU692498 Corp</stp>
        <stp>security_name</stp>
        <stp>[hybrids_02.xlsx]sectorTable!R35C6</stp>
        <tr r="F35" s="3"/>
      </tp>
      <tp t="s">
        <v>BBB-</v>
        <stp/>
        <stp>##V3_BDPV12</stp>
        <stp>XS2035564629 Corp</stp>
        <stp>bb_composite</stp>
        <stp>[hybrids_02.xlsx]sectorTable!R24C16</stp>
        <tr r="P24" s="3"/>
      </tp>
      <tp>
        <v>400.39196720036773</v>
        <stp/>
        <stp>##V3_BDPV12</stp>
        <stp>XS1048428442 Corp</stp>
        <stp>yas_ispread</stp>
        <stp>[hybrids_02.xlsx]issuerTable!R43C10</stp>
        <tr r="J43" s="5"/>
      </tp>
      <tp>
        <v>400.39196720036773</v>
        <stp/>
        <stp>##V3_BDPV12</stp>
        <stp>XS1048428442 Corp</stp>
        <stp>yas_ispread</stp>
        <stp>[hybrids_02.xlsx]issuerTable!R27C10</stp>
        <tr r="J27" s="5"/>
      </tp>
      <tp>
        <v>400.39196720036773</v>
        <stp/>
        <stp>##V3_BDPV12</stp>
        <stp>XS1048428442 Corp</stp>
        <stp>yas_ispread</stp>
        <stp>[hybrids_02.xlsx]issuerTable!R26C11</stp>
        <tr r="K26" s="5"/>
      </tp>
      <tp>
        <v>391.24125044223609</v>
        <stp/>
        <stp>##V3_BDPV12</stp>
        <stp>XS1799938995 Corp</stp>
        <stp>yas_ispread</stp>
        <stp>[hybrids_02.xlsx]issuerTable!R24C11</stp>
        <tr r="K24" s="5"/>
      </tp>
      <tp>
        <v>391.24125044223609</v>
        <stp/>
        <stp>##V3_BDPV12</stp>
        <stp>XS1799938995 Corp</stp>
        <stp>yas_ispread</stp>
        <stp>[hybrids_02.xlsx]issuerTable!R25C10</stp>
        <tr r="J25" s="5"/>
      </tp>
      <tp t="s">
        <v>EUR</v>
        <stp/>
        <stp>##V3_BDPV12</stp>
        <stp>XS1713463559 Corp</stp>
        <stp>crncy</stp>
        <stp>[hybrids_02.xlsx]sectorTable!R13C18</stp>
        <tr r="R13" s="3"/>
      </tp>
      <tp t="s">
        <v>EUR</v>
        <stp/>
        <stp>##V3_BDPV12</stp>
        <stp>XS1713463716 Corp</stp>
        <stp>crncy</stp>
        <stp>[hybrids_02.xlsx]sectorTable!R13C17</stp>
        <tr r="Q13" s="3"/>
      </tp>
      <tp>
        <v>210.05202425278085</v>
        <stp/>
        <stp>##V3_BDPV12</stp>
        <stp>XS2035564975 Corp</stp>
        <stp>yas_ispread</stp>
        <stp>[hybrids_02.xlsx]sectorTable!R24C11</stp>
        <tr r="K24" s="3"/>
      </tp>
      <tp>
        <v>246.92841448221063</v>
        <stp/>
        <stp>##V3_BDPV12</stp>
        <stp>XS2011260705 Corp</stp>
        <stp>yas_ispread</stp>
        <stp>[hybrids_02.xlsx]sectorTable!R17C12</stp>
        <tr r="L17" s="3"/>
      </tp>
      <tp>
        <v>338.55858698132403</v>
        <stp/>
        <stp>##V3_BDPV12</stp>
        <stp>XS2077670342 Corp</stp>
        <stp>yas_ispread</stp>
        <stp>[hybrids_02.xlsx]sectorTable!R14C12</stp>
        <tr r="L14" s="3"/>
      </tp>
      <tp>
        <v>306.75918125557791</v>
        <stp/>
        <stp>##V3_BDPV12</stp>
        <stp>XS1713463559 Corp</stp>
        <stp>yas_ispread</stp>
        <stp>[hybrids_02.xlsx]sectorTable!R13C12</stp>
        <tr r="L13" s="3"/>
      </tp>
      <tp>
        <v>391.24125044223609</v>
        <stp/>
        <stp>##V3_BDPV12</stp>
        <stp>XS1799938995 Corp</stp>
        <stp>yas_ispread</stp>
        <stp>[hybrids_02.xlsx]issuerTable!R4C10</stp>
        <tr r="J4" s="5"/>
      </tp>
      <tp t="s">
        <v>DBOERS 1 1/4 06/16/47</v>
        <stp/>
        <stp>##V3_BDPV12</stp>
        <stp>BJ924355 Corp</stp>
        <stp>security_name</stp>
        <stp>[hybrids_02.xlsx]sectorTable!R12C6</stp>
        <tr r="F12" s="3"/>
      </tp>
      <tp t="s">
        <v>BBB-</v>
        <stp/>
        <stp>##V3_BDPV12</stp>
        <stp>XS1028599287 Corp</stp>
        <stp>bb_composite</stp>
        <stp>[hybrids_02.xlsx]sectorTable!R15C15</stp>
        <tr r="O15" s="3"/>
      </tp>
      <tp t="s">
        <v>EUR</v>
        <stp/>
        <stp>##V3_BDPV12</stp>
        <stp>XS1713462403 Corp</stp>
        <stp>crncy</stp>
        <stp>[hybrids_02.xlsx]sectorTable!R32C17</stp>
        <tr r="Q32" s="3"/>
      </tp>
      <tp>
        <v>400.06434054653812</v>
        <stp/>
        <stp>##V3_BDPV12</stp>
        <stp>XS1795406658 Corp</stp>
        <stp>yas_ispread</stp>
        <stp>[hybrids_02.xlsx]issuerTable!R68C11</stp>
        <tr r="K68" s="5"/>
      </tp>
      <tp>
        <v>400.06434054653812</v>
        <stp/>
        <stp>##V3_BDPV12</stp>
        <stp>XS1795406658 Corp</stp>
        <stp>yas_ispread</stp>
        <stp>[hybrids_02.xlsx]issuerTable!R69C10</stp>
        <tr r="J69" s="5"/>
      </tp>
      <tp>
        <v>400.06434054653812</v>
        <stp/>
        <stp>##V3_BDPV12</stp>
        <stp>XS1795406658 Corp</stp>
        <stp>yas_ispread</stp>
        <stp>[hybrids_02.xlsx]issuerTable!R75C11</stp>
        <tr r="K75" s="5"/>
      </tp>
      <tp>
        <v>296.87237203567099</v>
        <stp/>
        <stp>##V3_BDPV12</stp>
        <stp>XS1294343337 Corp</stp>
        <stp>yas_ispread</stp>
        <stp>[hybrids_02.xlsx]sectorTable!R32C12</stp>
        <tr r="L32" s="3"/>
      </tp>
      <tp>
        <v>291.45403442385856</v>
        <stp/>
        <stp>##V3_BDPV12</stp>
        <stp>FR0013478252 Corp</stp>
        <stp>yas_ispread</stp>
        <stp>[hybrids_02.xlsx]sectorTable!R36C12</stp>
        <tr r="L36" s="3"/>
      </tp>
      <tp>
        <v>273.50629717213661</v>
        <stp/>
        <stp>##V3_BDPV12</stp>
        <stp>XS1219498141 Corp</stp>
        <stp>yas_ispread</stp>
        <stp>[hybrids_02.xlsx]sectorTable!R38C11</stp>
        <tr r="K38" s="3"/>
      </tp>
      <tp>
        <v>300.5382049231369</v>
        <stp/>
        <stp>##V3_BDPV12</stp>
        <stp>FR0013425170 Corp</stp>
        <stp>yas_ispread</stp>
        <stp>[hybrids_02.xlsx]issuerTable!R381C10</stp>
        <tr r="J381" s="5"/>
      </tp>
      <tp>
        <v>300.5382049231369</v>
        <stp/>
        <stp>##V3_BDPV12</stp>
        <stp>FR0013425170 Corp</stp>
        <stp>yas_ispread</stp>
        <stp>[hybrids_02.xlsx]issuerTable!R380C11</stp>
        <tr r="K380" s="5"/>
      </tp>
      <tp>
        <v>740.15026195502458</v>
        <stp/>
        <stp>##V3_BDPV12</stp>
        <stp>FR0013457157 Corp</stp>
        <stp>yas_ispread</stp>
        <stp>[hybrids_02.xlsx]issuerTable!R488C11</stp>
        <tr r="K488" s="5"/>
      </tp>
      <tp>
        <v>740.15026195502458</v>
        <stp/>
        <stp>##V3_BDPV12</stp>
        <stp>FR0013457157 Corp</stp>
        <stp>yas_ispread</stp>
        <stp>[hybrids_02.xlsx]issuerTable!R486C11</stp>
        <tr r="K486" s="5"/>
      </tp>
      <tp>
        <v>423.71405062033693</v>
        <stp/>
        <stp>##V3_BDPV12</stp>
        <stp>XS2051471105 Corp</stp>
        <stp>yas_ispread</stp>
        <stp>[hybrids_02.xlsx]issuerTable!R402C10</stp>
        <tr r="J402" s="5"/>
      </tp>
      <tp>
        <v>213.05160684913224</v>
        <stp/>
        <stp>##V3_BDPV12</stp>
        <stp>XS1721244371 Corp</stp>
        <stp>yas_ispread</stp>
        <stp>[hybrids_02.xlsx]issuerTable!R453C10</stp>
        <tr r="J453" s="5"/>
      </tp>
      <tp>
        <v>213.05160684913224</v>
        <stp/>
        <stp>##V3_BDPV12</stp>
        <stp>XS1721244371 Corp</stp>
        <stp>yas_ispread</stp>
        <stp>[hybrids_02.xlsx]issuerTable!R456C10</stp>
        <tr r="J456" s="5"/>
      </tp>
      <tp>
        <v>423.71405062033693</v>
        <stp/>
        <stp>##V3_BDPV12</stp>
        <stp>XS2051471105 Corp</stp>
        <stp>yas_ispread</stp>
        <stp>[hybrids_02.xlsx]issuerTable!R399C10</stp>
        <tr r="J399" s="5"/>
      </tp>
      <tp>
        <v>294.91114796592603</v>
        <stp/>
        <stp>##V3_BDPV12</stp>
        <stp>XS1713462403 Corp</stp>
        <stp>yas_ispread</stp>
        <stp>[hybrids_02.xlsx]issuerTable!R418C11</stp>
        <tr r="K418" s="5"/>
      </tp>
      <tp>
        <v>294.91114796592603</v>
        <stp/>
        <stp>##V3_BDPV12</stp>
        <stp>XS1713462403 Corp</stp>
        <stp>yas_ispread</stp>
        <stp>[hybrids_02.xlsx]issuerTable!R419C10</stp>
        <tr r="J419" s="5"/>
      </tp>
      <tp t="s">
        <v>29/01/2024</v>
        <stp/>
        <stp>##V3_BDPV12</stp>
        <stp>AL211915 Corp</stp>
        <stp>nxt_call_dt</stp>
        <stp>[hybrids_02.xlsx]sectorTable!R5C8</stp>
        <tr r="H5" s="3"/>
      </tp>
      <tp>
        <v>297.92803836907791</v>
        <stp/>
        <stp>##V3_BDPV12</stp>
        <stp>DE000A11QR73 Corp</stp>
        <stp>yas_ispread</stp>
        <stp>[hybrids_02.xlsx]issuerTable!R265C10</stp>
        <tr r="J265" s="5"/>
      </tp>
      <tp>
        <v>297.92803836907791</v>
        <stp/>
        <stp>##V3_BDPV12</stp>
        <stp>DE000A11QR73 Corp</stp>
        <stp>yas_ispread</stp>
        <stp>[hybrids_02.xlsx]issuerTable!R264C11</stp>
        <tr r="K264" s="5"/>
      </tp>
    </main>
    <main first="bofaddin.rtdserver">
      <tp t="e">
        <v>#N/A</v>
        <stp/>
        <stp>BDH|13471925780199494122</stp>
        <tr r="Z26" s="3"/>
      </tp>
      <tp t="e">
        <v>#N/A</v>
        <stp/>
        <stp>BDH|16619253785345009361</stp>
        <tr r="U312" s="5"/>
        <tr r="T313" s="5"/>
      </tp>
    </main>
    <main first="bofaddin.rtdserver">
      <tp t="e">
        <v>#N/A</v>
        <stp/>
        <stp>BDH|10372347985024106505</stp>
        <tr r="U342" s="5"/>
        <tr r="U336" s="5"/>
        <tr r="AA13" s="3"/>
      </tp>
      <tp t="e">
        <v>#N/A</v>
        <stp/>
        <stp>BDH|12523004830712016972</stp>
        <tr r="U41" s="5"/>
        <tr r="U29" s="5"/>
        <tr r="T30" s="5"/>
      </tp>
    </main>
    <main first="bofaddin.rtdserver">
      <tp t="e">
        <v>#N/A</v>
        <stp/>
        <stp>BDH|15196955930396403343</stp>
        <tr r="U102" s="5"/>
        <tr r="T112" s="5"/>
        <tr r="T103" s="5"/>
        <tr r="Z28" s="3"/>
      </tp>
    </main>
    <main first="bofaddin.rtdserver">
      <tp t="e">
        <v>#N/A</v>
        <stp/>
        <stp>BDH|18332115735408923898</stp>
        <tr r="U39" s="3"/>
      </tp>
    </main>
    <main first="bofaddin.rtdserver">
      <tp t="e">
        <v>#N/A</v>
        <stp/>
        <stp>BDH|11261664883146422352</stp>
        <tr r="V18" s="3"/>
      </tp>
    </main>
    <main first="bofaddin.rtdserver">
      <tp t="e">
        <v>#N/A</v>
        <stp/>
        <stp>BDH|18433361670931865737</stp>
        <tr r="P364" s="5"/>
        <tr r="P358" s="5"/>
      </tp>
      <tp t="e">
        <v>#N/A</v>
        <stp/>
        <stp>BDH|16308683624958185075</stp>
        <tr r="U23" s="3"/>
      </tp>
    </main>
    <main first="bofaddin.rtdserver">
      <tp t="e">
        <v>#N/A</v>
        <stp/>
        <stp>BDH|14489930124174611193</stp>
        <tr r="U402" s="5"/>
        <tr r="U400" s="5"/>
      </tp>
    </main>
    <main first="bofaddin.rtdserver">
      <tp t="e">
        <v>#N/A</v>
        <stp/>
        <stp>BDH|18262524472629551991</stp>
        <tr r="P64" s="5"/>
        <tr r="O65" s="5"/>
        <tr r="O75" s="5"/>
      </tp>
    </main>
    <main first="bloomberg.rtd">
      <tp>
        <v>236.3544480213084</v>
        <stp/>
        <stp>##V3_BDPV12</stp>
        <stp>FR0013447877 Corp</stp>
        <stp>yas_ispread</stp>
        <stp>[hybrids_02.xlsx]issuerTable!R165C11</stp>
        <tr r="K165" s="5"/>
      </tp>
      <tp>
        <v>236.3544480213084</v>
        <stp/>
        <stp>##V3_BDPV12</stp>
        <stp>FR0013447877 Corp</stp>
        <stp>yas_ispread</stp>
        <stp>[hybrids_02.xlsx]issuerTable!R172C11</stp>
        <tr r="K172" s="5"/>
      </tp>
      <tp>
        <v>236.3544480213084</v>
        <stp/>
        <stp>##V3_BDPV12</stp>
        <stp>FR0013447877 Corp</stp>
        <stp>yas_ispread</stp>
        <stp>[hybrids_02.xlsx]issuerTable!R170C11</stp>
        <tr r="K170" s="5"/>
      </tp>
      <tp>
        <v>157.69689840369668</v>
        <stp/>
        <stp>##V3_BDPV12</stp>
        <stp>FR0011531730 Corp</stp>
        <stp>yas_ispread</stp>
        <stp>[hybrids_02.xlsx]issuerTable!R200C10</stp>
        <tr r="J200" s="5"/>
      </tp>
      <tp>
        <v>157.69689840369668</v>
        <stp/>
        <stp>##V3_BDPV12</stp>
        <stp>FR0011531730 Corp</stp>
        <stp>yas_ispread</stp>
        <stp>[hybrids_02.xlsx]issuerTable!R192C10</stp>
        <tr r="J192" s="5"/>
      </tp>
      <tp>
        <v>246.92841448221063</v>
        <stp/>
        <stp>##V3_BDPV12</stp>
        <stp>XS2011260705 Corp</stp>
        <stp>yas_ispread</stp>
        <stp>[hybrids_02.xlsx]issuerTable!R296C11</stp>
        <tr r="K296" s="5"/>
      </tp>
      <tp>
        <v>246.92841448221063</v>
        <stp/>
        <stp>##V3_BDPV12</stp>
        <stp>XS2011260705 Corp</stp>
        <stp>yas_ispread</stp>
        <stp>[hybrids_02.xlsx]issuerTable!R290C11</stp>
        <tr r="K290" s="5"/>
      </tp>
      <tp>
        <v>210.05202425278085</v>
        <stp/>
        <stp>##V3_BDPV12</stp>
        <stp>XS2035564975 Corp</stp>
        <stp>yas_ispread</stp>
        <stp>[hybrids_02.xlsx]issuerTable!R141C10</stp>
        <tr r="J141" s="5"/>
      </tp>
      <tp>
        <v>210.05202425278085</v>
        <stp/>
        <stp>##V3_BDPV12</stp>
        <stp>XS2035564975 Corp</stp>
        <stp>yas_ispread</stp>
        <stp>[hybrids_02.xlsx]issuerTable!R133C10</stp>
        <tr r="J133" s="5"/>
      </tp>
      <tp>
        <v>210.05202425278085</v>
        <stp/>
        <stp>##V3_BDPV12</stp>
        <stp>XS2035564975 Corp</stp>
        <stp>yas_ispread</stp>
        <stp>[hybrids_02.xlsx]issuerTable!R132C11</stp>
        <tr r="K132" s="5"/>
      </tp>
      <tp>
        <v>285.53598312569096</v>
        <stp/>
        <stp>##V3_BDPV12</stp>
        <stp>XS2000719992 Corp</stp>
        <stp>yas_ispread</stp>
        <stp>[hybrids_02.xlsx]issuerTable!R335C11</stp>
        <tr r="K335" s="5"/>
      </tp>
      <tp>
        <v>285.53598312569096</v>
        <stp/>
        <stp>##V3_BDPV12</stp>
        <stp>XS2000719992 Corp</stp>
        <stp>yas_ispread</stp>
        <stp>[hybrids_02.xlsx]issuerTable!R336C10</stp>
        <tr r="J336" s="5"/>
      </tp>
      <tp>
        <v>231.26711250525477</v>
        <stp/>
        <stp>##V3_BDPV12</stp>
        <stp>XS1195202822 Corp</stp>
        <stp>yas_ispread</stp>
        <stp>[hybrids_02.xlsx]issuerTable!R105C10</stp>
        <tr r="J105" s="5"/>
      </tp>
      <tp>
        <v>231.26711250525477</v>
        <stp/>
        <stp>##V3_BDPV12</stp>
        <stp>XS1195202822 Corp</stp>
        <stp>yas_ispread</stp>
        <stp>[hybrids_02.xlsx]issuerTable!R110C11</stp>
        <tr r="K110" s="5"/>
      </tp>
      <tp>
        <v>231.26711250525477</v>
        <stp/>
        <stp>##V3_BDPV12</stp>
        <stp>XS1195202822 Corp</stp>
        <stp>yas_ispread</stp>
        <stp>[hybrids_02.xlsx]issuerTable!R104C11</stp>
        <tr r="K104" s="5"/>
      </tp>
    </main>
    <main first="bofaddin.rtdserver">
      <tp t="e">
        <v>#N/A</v>
        <stp/>
        <stp>BDH|11305039514262156908</stp>
        <tr r="P162" s="5"/>
        <tr r="O163" s="5"/>
      </tp>
      <tp t="e">
        <v>#N/A</v>
        <stp/>
        <stp>BDH|11414833943355128317</stp>
        <tr r="T78" s="5"/>
        <tr r="U66" s="5"/>
        <tr r="T67" s="5"/>
      </tp>
    </main>
    <main first="bofaddin.rtdserver">
      <tp t="e">
        <v>#N/A</v>
        <stp/>
        <stp>BDH|10896757320949011741</stp>
        <tr r="V37" s="3"/>
      </tp>
    </main>
    <main first="bofaddin.rtdserver">
      <tp t="e">
        <v>#N/A</v>
        <stp/>
        <stp>BDH|15869848448587888579</stp>
        <tr r="AA30" s="3"/>
      </tp>
    </main>
    <main first="bofaddin.rtdserver">
      <tp t="e">
        <v>#N/A</v>
        <stp/>
        <stp>BDH|11404765065579400296</stp>
        <tr r="U110" s="5"/>
        <tr r="U104" s="5"/>
        <tr r="T105" s="5"/>
      </tp>
    </main>
    <main first="bofaddin.rtdserver">
      <tp t="e">
        <v>#N/A</v>
        <stp/>
        <stp>BDH|14848963065700338069</stp>
        <tr r="U399" s="5"/>
        <tr r="T400" s="5"/>
      </tp>
    </main>
    <main first="bloomberg.rtd">
      <tp>
        <v>241.71589330138676</v>
        <stp/>
        <stp>##V3_BDPV12</stp>
        <stp>FR0013398229 Corp</stp>
        <stp>yas_ispread</stp>
        <stp>[hybrids_02.xlsx]issuerTable!R195C10</stp>
        <tr r="J195" s="5"/>
      </tp>
      <tp>
        <v>241.71589330138676</v>
        <stp/>
        <stp>##V3_BDPV12</stp>
        <stp>FR0013398229 Corp</stp>
        <stp>yas_ispread</stp>
        <stp>[hybrids_02.xlsx]issuerTable!R194C11</stp>
        <tr r="K194" s="5"/>
      </tp>
      <tp>
        <v>203.08357790781349</v>
        <stp/>
        <stp>##V3_BDPV12</stp>
        <stp>XS1044811591 Corp</stp>
        <stp>yas_ispread</stp>
        <stp>[hybrids_02.xlsx]issuerTable!R130C11</stp>
        <tr r="K130" s="5"/>
      </tp>
      <tp>
        <v>203.08357790781349</v>
        <stp/>
        <stp>##V3_BDPV12</stp>
        <stp>XS1044811591 Corp</stp>
        <stp>yas_ispread</stp>
        <stp>[hybrids_02.xlsx]issuerTable!R139C10</stp>
        <tr r="J139" s="5"/>
      </tp>
      <tp>
        <v>203.08357790781349</v>
        <stp/>
        <stp>##V3_BDPV12</stp>
        <stp>XS1044811591 Corp</stp>
        <stp>yas_ispread</stp>
        <stp>[hybrids_02.xlsx]issuerTable!R130C10</stp>
        <tr r="J130" s="5"/>
      </tp>
      <tp>
        <v>203.08357790781349</v>
        <stp/>
        <stp>##V3_BDPV12</stp>
        <stp>XS1044811591 Corp</stp>
        <stp>yas_ispread</stp>
        <stp>[hybrids_02.xlsx]issuerTable!R131C10</stp>
        <tr r="J131" s="5"/>
      </tp>
      <tp>
        <v>177.90533448541237</v>
        <stp/>
        <stp>##V3_BDPV12</stp>
        <stp>XS1195201931 Corp</stp>
        <stp>yas_ispread</stp>
        <stp>[hybrids_02.xlsx]issuerTable!R101C10</stp>
        <tr r="J101" s="5"/>
      </tp>
      <tp>
        <v>227.115512284402</v>
        <stp/>
        <stp>##V3_BDPV12</stp>
        <stp>XS1152338072 Corp</stp>
        <stp>yas_ispread</stp>
        <stp>[hybrids_02.xlsx]issuerTable!R296C10</stp>
        <tr r="J296" s="5"/>
      </tp>
      <tp>
        <v>227.115512284402</v>
        <stp/>
        <stp>##V3_BDPV12</stp>
        <stp>XS1152338072 Corp</stp>
        <stp>yas_ispread</stp>
        <stp>[hybrids_02.xlsx]issuerTable!R288C10</stp>
        <tr r="J288" s="5"/>
      </tp>
    </main>
    <main first="bofaddin.rtdserver">
      <tp t="e">
        <v>#N/A</v>
        <stp/>
        <stp>BDH|12403935463675371068</stp>
        <tr r="P219" s="5"/>
        <tr r="O220" s="5"/>
      </tp>
    </main>
    <main first="bofaddin.rtdserver">
      <tp t="e">
        <v>#N/A</v>
        <stp/>
        <stp>BDH|15029913605574506015</stp>
        <tr r="U132" s="5"/>
        <tr r="T141" s="5"/>
        <tr r="T133" s="5"/>
        <tr r="Z24" s="3"/>
      </tp>
    </main>
    <main first="bofaddin.rtdserver">
      <tp t="e">
        <v>#N/A</v>
        <stp/>
        <stp>BDH|13967379117681393898</stp>
        <tr r="T402" s="5"/>
        <tr r="T399" s="5"/>
      </tp>
    </main>
    <main first="bofaddin.rtdserver">
      <tp t="e">
        <v>#N/A</v>
        <stp/>
        <stp>BDH|17113885292099025793</stp>
        <tr r="U9" s="3"/>
      </tp>
    </main>
    <main first="bofaddin.rtdserver">
      <tp t="e">
        <v>#N/A</v>
        <stp/>
        <stp>BDH|10970512735947485906</stp>
        <tr r="U34" s="3"/>
      </tp>
    </main>
    <main first="bofaddin.rtdserver">
      <tp t="e">
        <v>#N/A</v>
        <stp/>
        <stp>BDH|15307163398667425210</stp>
        <tr r="U141" s="5"/>
        <tr r="U139" s="5"/>
        <tr r="U134" s="5"/>
        <tr r="AA24" s="3"/>
      </tp>
    </main>
    <main first="bofaddin.rtdserver">
      <tp t="e">
        <v>#N/A</v>
        <stp/>
        <stp>BDH|13930764025999720710</stp>
        <tr r="V15" s="3"/>
      </tp>
    </main>
    <main first="bofaddin.rtdserver">
      <tp t="e">
        <v>#N/A</v>
        <stp/>
        <stp>BDH|12520167769499379465</stp>
        <tr r="U11" s="3"/>
      </tp>
    </main>
    <main first="bloomberg.rtd">
      <tp>
        <v>357.50887889874906</v>
        <stp/>
        <stp>##V3_BDPV12</stp>
        <stp>FR0011697028 Corp</stp>
        <stp>yas_ispread</stp>
        <stp>[hybrids_02.xlsx]issuerTable!R220C10</stp>
        <tr r="J220" s="5"/>
      </tp>
      <tp>
        <v>357.50887889874906</v>
        <stp/>
        <stp>##V3_BDPV12</stp>
        <stp>FR0011697028 Corp</stp>
        <stp>yas_ispread</stp>
        <stp>[hybrids_02.xlsx]issuerTable!R219C11</stp>
        <tr r="K219" s="5"/>
      </tp>
      <tp>
        <v>345.91239407835633</v>
        <stp/>
        <stp>##V3_BDPV12</stp>
        <stp>FR0011401751 Corp</stp>
        <stp>yas_ispread</stp>
        <stp>[hybrids_02.xlsx]issuerTable!R218C11</stp>
        <tr r="K218" s="5"/>
      </tp>
      <tp>
        <v>345.91239407835633</v>
        <stp/>
        <stp>##V3_BDPV12</stp>
        <stp>FR0011401751 Corp</stp>
        <stp>yas_ispread</stp>
        <stp>[hybrids_02.xlsx]issuerTable!R219C10</stp>
        <tr r="J219" s="5"/>
      </tp>
      <tp>
        <v>290.73703941537696</v>
        <stp/>
        <stp>##V3_BDPV12</stp>
        <stp>FR0013445335 Corp</stp>
        <stp>yas_ispread</stp>
        <stp>[hybrids_02.xlsx]issuerTable!R439C11</stp>
        <tr r="K439" s="5"/>
      </tp>
      <tp>
        <v>290.73703941537696</v>
        <stp/>
        <stp>##V3_BDPV12</stp>
        <stp>FR0013445335 Corp</stp>
        <stp>yas_ispread</stp>
        <stp>[hybrids_02.xlsx]issuerTable!R437C11</stp>
        <tr r="K437" s="5"/>
      </tp>
      <tp>
        <v>223.9038204187504</v>
        <stp/>
        <stp>##V3_BDPV12</stp>
        <stp>XS1974787480 Corp</stp>
        <stp>yas_ispread</stp>
        <stp>[hybrids_02.xlsx]issuerTable!R103C11</stp>
        <tr r="K103" s="5"/>
      </tp>
      <tp>
        <v>223.9038204187504</v>
        <stp/>
        <stp>##V3_BDPV12</stp>
        <stp>XS1974787480 Corp</stp>
        <stp>yas_ispread</stp>
        <stp>[hybrids_02.xlsx]issuerTable!R104C10</stp>
        <tr r="J104" s="5"/>
      </tp>
      <tp>
        <v>265.33730525304094</v>
        <stp/>
        <stp>##V3_BDPV12</stp>
        <stp>XS1207054666 Corp</stp>
        <stp>yas_ispread</stp>
        <stp>[hybrids_02.xlsx]issuerTable!R319C10</stp>
        <tr r="J319" s="5"/>
      </tp>
      <tp>
        <v>265.33730525304094</v>
        <stp/>
        <stp>##V3_BDPV12</stp>
        <stp>XS1207054666 Corp</stp>
        <stp>yas_ispread</stp>
        <stp>[hybrids_02.xlsx]issuerTable!R311C10</stp>
        <tr r="J311" s="5"/>
      </tp>
      <tp>
        <v>300.37002358639518</v>
        <stp/>
        <stp>##V3_BDPV12</stp>
        <stp>XS0992293901 Corp</stp>
        <stp>yas_ispread</stp>
        <stp>[hybrids_02.xlsx]issuerTable!R242C10</stp>
        <tr r="J242" s="5"/>
      </tp>
      <tp>
        <v>300.37002358639518</v>
        <stp/>
        <stp>##V3_BDPV12</stp>
        <stp>XS0992293901 Corp</stp>
        <stp>yas_ispread</stp>
        <stp>[hybrids_02.xlsx]issuerTable!R241C11</stp>
        <tr r="K241" s="5"/>
      </tp>
      <tp>
        <v>296.87237203567099</v>
        <stp/>
        <stp>##V3_BDPV12</stp>
        <stp>XS1294343337 Corp</stp>
        <stp>yas_ispread</stp>
        <stp>[hybrids_02.xlsx]issuerTable!R419C11</stp>
        <tr r="K419" s="5"/>
      </tp>
      <tp>
        <v>296.87237203567099</v>
        <stp/>
        <stp>##V3_BDPV12</stp>
        <stp>XS1294343337 Corp</stp>
        <stp>yas_ispread</stp>
        <stp>[hybrids_02.xlsx]issuerTable!R421C11</stp>
        <tr r="K421" s="5"/>
      </tp>
      <tp>
        <v>20.820207581433721</v>
        <stp/>
        <stp>##V3_BDPV12</stp>
        <stp>ZQ099270 Corp</stp>
        <stp>interval_std_dev</stp>
        <stp>[hybrids_02.xlsx]sectorTable!R29C33</stp>
        <stp>calc_interval=30d</stp>
        <stp>market_data_override=sp210</stp>
        <tr r="AG29" s="3"/>
      </tp>
    </main>
    <main first="bofaddin.rtdserver">
      <tp t="e">
        <v>#N/A</v>
        <stp/>
        <stp>BDH|12091775510194335974</stp>
        <tr r="V7" s="3"/>
      </tp>
      <tp t="e">
        <v>#N/A</v>
        <stp/>
        <stp>BDH|14374205456653384956</stp>
        <tr r="P25" s="5"/>
        <tr r="O26" s="5"/>
      </tp>
      <tp t="e">
        <v>#N/A</v>
        <stp/>
        <stp>BDH|17689473660374445864</stp>
        <tr r="Z6" s="3"/>
      </tp>
    </main>
    <main first="bofaddin.rtdserver">
      <tp t="e">
        <v>#N/A</v>
        <stp/>
        <stp>BDH|13585878446546234048</stp>
        <tr r="P141" s="5"/>
        <tr r="P139" s="5"/>
        <tr r="P134" s="5"/>
      </tp>
    </main>
    <main first="bofaddin.rtdserver">
      <tp t="e">
        <v>#N/A</v>
        <stp/>
        <stp>BDH|10129165993059339821</stp>
        <tr r="U192" s="5"/>
        <tr r="T193" s="5"/>
      </tp>
    </main>
    <main first="bofaddin.rtdserver">
      <tp t="e">
        <v>#N/A</v>
        <stp/>
        <stp>BDH|16368040890617489174</stp>
        <tr r="U289" s="5"/>
        <tr r="T290" s="5"/>
        <tr r="Z17" s="3"/>
      </tp>
    </main>
    <main first="bofaddin.rtdserver">
      <tp t="e">
        <v>#N/A</v>
        <stp/>
        <stp>BDH|14139277763110410976</stp>
        <tr r="Z10" s="3"/>
      </tp>
      <tp t="e">
        <v>#N/A</v>
        <stp/>
        <stp>BDH|14005934718512422766</stp>
        <tr r="Z25" s="3"/>
      </tp>
    </main>
    <main first="bofaddin.rtdserver">
      <tp t="e">
        <v>#N/A</v>
        <stp/>
        <stp>BDH|15064723782094819734</stp>
        <tr r="U20" s="3"/>
      </tp>
    </main>
    <main first="bofaddin.rtdserver">
      <tp t="e">
        <v>#N/A</v>
        <stp/>
        <stp>BDH|16505894291056443838</stp>
        <tr r="U28" s="3"/>
      </tp>
    </main>
    <main first="bofaddin.rtdserver">
      <tp t="e">
        <v>#N/A</v>
        <stp/>
        <stp>BDH|13524321994262759288</stp>
        <tr r="U202" s="5"/>
        <tr r="U200" s="5"/>
        <tr r="U195" s="5"/>
      </tp>
      <tp t="e">
        <v>#N/A</v>
        <stp/>
        <stp>BDH|10836153190777580648</stp>
        <tr r="U21" s="3"/>
      </tp>
    </main>
    <main first="bofaddin.rtdserver">
      <tp t="e">
        <v>#N/A</v>
        <stp/>
        <stp>BDH|17117142033644187881</stp>
        <tr r="P70" s="5"/>
        <tr r="P78" s="5"/>
        <tr r="P76" s="5"/>
      </tp>
    </main>
    <main first="bloomberg.rtd">
      <tp>
        <v>234.7629917450258</v>
        <stp/>
        <stp>##V3_BDPV12</stp>
        <stp>FR0013413887 Corp</stp>
        <stp>yas_ispread</stp>
        <stp>[hybrids_02.xlsx]issuerTable!R172C10</stp>
        <tr r="J172" s="5"/>
      </tp>
      <tp>
        <v>234.7629917450258</v>
        <stp/>
        <stp>##V3_BDPV12</stp>
        <stp>FR0013413887 Corp</stp>
        <stp>yas_ispread</stp>
        <stp>[hybrids_02.xlsx]issuerTable!R163C11</stp>
        <tr r="K163" s="5"/>
      </tp>
      <tp>
        <v>234.7629917450258</v>
        <stp/>
        <stp>##V3_BDPV12</stp>
        <stp>FR0013413887 Corp</stp>
        <stp>yas_ispread</stp>
        <stp>[hybrids_02.xlsx]issuerTable!R164C10</stp>
        <tr r="J164" s="5"/>
      </tp>
      <tp>
        <v>38.259168976996158</v>
        <stp/>
        <stp>##V3_BDPV12</stp>
        <stp>UV391246 Corp</stp>
        <stp>interval_std_dev</stp>
        <stp>[hybrids_02.xlsx]sectorTable!R12C33</stp>
        <stp>calc_interval=30d</stp>
        <stp>market_data_override=sp210</stp>
        <tr r="AG12" s="3"/>
      </tp>
      <tp t="s">
        <v>EUR</v>
        <stp/>
        <stp>##V3_BDPV12</stp>
        <stp>FR0011697028 Corp</stp>
        <stp>crncy</stp>
        <stp>[hybrids_02.xlsx]sectorTable!R11C18</stp>
        <tr r="R11" s="3"/>
      </tp>
      <tp t="s">
        <v>EUR</v>
        <stp/>
        <stp>##V3_BDPV12</stp>
        <stp>FR0013367612 Corp</stp>
        <stp>crncy</stp>
        <stp>[hybrids_02.xlsx]sectorTable!R11C17</stp>
        <tr r="Q11" s="3"/>
      </tp>
    </main>
    <main first="bofaddin.rtdserver">
      <tp t="e">
        <v>#N/A</v>
        <stp/>
        <stp>BDH|11317446960434428928</stp>
        <tr r="T319" s="5"/>
        <tr r="T311" s="5"/>
      </tp>
    </main>
    <main first="bofaddin.rtdserver">
      <tp t="e">
        <v>#N/A</v>
        <stp/>
        <stp>BDH|12270718962694394929</stp>
        <tr r="U18" s="3"/>
      </tp>
      <tp t="e">
        <v>#N/A</v>
        <stp/>
        <stp>BDH|16260826400423401374</stp>
        <tr r="T21" s="5"/>
      </tp>
    </main>
    <main first="bofaddin.rtdserver">
      <tp t="e">
        <v>#N/A</v>
        <stp/>
        <stp>BDH|14797969915452182015</stp>
        <tr r="O402" s="5"/>
        <tr r="O399" s="5"/>
      </tp>
    </main>
    <main first="bofaddin.rtdserver">
      <tp t="e">
        <v>#N/A</v>
        <stp/>
        <stp>BDH|17773855445991359438</stp>
        <tr r="U75" s="5"/>
        <tr r="U68" s="5"/>
        <tr r="T69" s="5"/>
      </tp>
    </main>
    <main first="bofaddin.rtdserver">
      <tp t="e">
        <v>#N/A</v>
        <stp/>
        <stp>BDH|17112777483626847056</stp>
        <tr r="U249" s="5"/>
        <tr r="U243" s="5"/>
        <tr r="AA4" s="3"/>
      </tp>
    </main>
    <main first="bofaddin.rtdserver">
      <tp t="e">
        <v>#N/A</v>
        <stp/>
        <stp>BDH|16514287783601353371</stp>
        <tr r="P43" s="5"/>
        <tr r="P30" s="5"/>
      </tp>
    </main>
    <main first="bofaddin.rtdserver">
      <tp t="e">
        <v>#N/A</v>
        <stp/>
        <stp>BDH|17800554281634991082</stp>
        <tr r="U133" s="5"/>
        <tr r="T134" s="5"/>
      </tp>
    </main>
    <main first="bofaddin.rtdserver">
      <tp t="e">
        <v>#N/A</v>
        <stp/>
        <stp>BDH|10829207462172213877</stp>
        <tr r="V19" s="3"/>
      </tp>
    </main>
    <main first="bloomberg.rtd">
      <tp>
        <v>234.83854221467459</v>
        <stp/>
        <stp>##V3_BDPV12</stp>
        <stp>FR0011942283 Corp</stp>
        <stp>yas_ispread</stp>
        <stp>[hybrids_02.xlsx]issuerTable!R194C10</stp>
        <tr r="J194" s="5"/>
      </tp>
      <tp>
        <v>234.83854221467459</v>
        <stp/>
        <stp>##V3_BDPV12</stp>
        <stp>FR0011942283 Corp</stp>
        <stp>yas_ispread</stp>
        <stp>[hybrids_02.xlsx]issuerTable!R193C11</stp>
        <tr r="K193" s="5"/>
      </tp>
      <tp>
        <v>248.53902864241047</v>
        <stp/>
        <stp>##V3_BDPV12</stp>
        <stp>FR0013431244 Corp</stp>
        <stp>yas_ispread</stp>
        <stp>[hybrids_02.xlsx]issuerTable!R200C11</stp>
        <tr r="K200" s="5"/>
      </tp>
      <tp>
        <v>248.53902864241047</v>
        <stp/>
        <stp>##V3_BDPV12</stp>
        <stp>FR0013431244 Corp</stp>
        <stp>yas_ispread</stp>
        <stp>[hybrids_02.xlsx]issuerTable!R202C11</stp>
        <tr r="K202" s="5"/>
      </tp>
      <tp>
        <v>248.53902864241047</v>
        <stp/>
        <stp>##V3_BDPV12</stp>
        <stp>FR0013431244 Corp</stp>
        <stp>yas_ispread</stp>
        <stp>[hybrids_02.xlsx]issuerTable!R195C11</stp>
        <tr r="K195" s="5"/>
      </tp>
      <tp>
        <v>234.83854221467459</v>
        <stp/>
        <stp>##V3_BDPV12</stp>
        <stp>FR0011942283 Corp</stp>
        <stp>yas_ispread</stp>
        <stp>[hybrids_02.xlsx]issuerTable!R202C10</stp>
        <tr r="J202" s="5"/>
      </tp>
      <tp>
        <v>269.84863898480842</v>
        <stp/>
        <stp>##V3_BDPV12</stp>
        <stp>XS1713463716 Corp</stp>
        <stp>yas_ispread</stp>
        <stp>[hybrids_02.xlsx]issuerTable!R342C10</stp>
        <tr r="J342" s="5"/>
      </tp>
      <tp>
        <v>269.84863898480842</v>
        <stp/>
        <stp>##V3_BDPV12</stp>
        <stp>XS1713463716 Corp</stp>
        <stp>yas_ispread</stp>
        <stp>[hybrids_02.xlsx]issuerTable!R334C10</stp>
        <tr r="J334" s="5"/>
      </tp>
      <tp>
        <v>194.08227869092465</v>
        <stp/>
        <stp>##V3_BDPV12</stp>
        <stp>XS2011260531 Corp</stp>
        <stp>yas_ispread</stp>
        <stp>[hybrids_02.xlsx]issuerTable!R289C11</stp>
        <tr r="K289" s="5"/>
      </tp>
      <tp>
        <v>194.08227869092465</v>
        <stp/>
        <stp>##V3_BDPV12</stp>
        <stp>XS2011260531 Corp</stp>
        <stp>yas_ispread</stp>
        <stp>[hybrids_02.xlsx]issuerTable!R290C10</stp>
        <tr r="J290" s="5"/>
      </tp>
      <tp>
        <v>253.52477665697495</v>
        <stp/>
        <stp>##V3_BDPV12</stp>
        <stp>XS0954675129 Corp</stp>
        <stp>yas_ispread</stp>
        <stp>[hybrids_02.xlsx]issuerTable!R334C11</stp>
        <tr r="K334" s="5"/>
      </tp>
      <tp>
        <v>253.52477665697495</v>
        <stp/>
        <stp>##V3_BDPV12</stp>
        <stp>XS0954675129 Corp</stp>
        <stp>yas_ispread</stp>
        <stp>[hybrids_02.xlsx]issuerTable!R335C10</stp>
        <tr r="J335" s="5"/>
      </tp>
      <tp>
        <v>222.71849578326979</v>
        <stp/>
        <stp>##V3_BDPV12</stp>
        <stp>XS2010036874 Corp</stp>
        <stp>yas_ispread</stp>
        <stp>[hybrids_02.xlsx]issuerTable!R364C11</stp>
        <tr r="K364" s="5"/>
      </tp>
      <tp>
        <v>222.71849578326979</v>
        <stp/>
        <stp>##V3_BDPV12</stp>
        <stp>XS2010036874 Corp</stp>
        <stp>yas_ispread</stp>
        <stp>[hybrids_02.xlsx]issuerTable!R358C11</stp>
        <tr r="K358" s="5"/>
      </tp>
      <tp>
        <v>212.14032647646678</v>
        <stp/>
        <stp>##V3_BDPV12</stp>
        <stp>XS1501167164 Corp</stp>
        <stp>yas_ispread</stp>
        <stp>[hybrids_02.xlsx]issuerTable!R102C11</stp>
        <tr r="K102" s="5"/>
      </tp>
      <tp>
        <v>212.14032647646678</v>
        <stp/>
        <stp>##V3_BDPV12</stp>
        <stp>XS1501167164 Corp</stp>
        <stp>yas_ispread</stp>
        <stp>[hybrids_02.xlsx]issuerTable!R112C10</stp>
        <tr r="J112" s="5"/>
      </tp>
      <tp>
        <v>212.14032647646678</v>
        <stp/>
        <stp>##V3_BDPV12</stp>
        <stp>XS1501167164 Corp</stp>
        <stp>yas_ispread</stp>
        <stp>[hybrids_02.xlsx]issuerTable!R103C10</stp>
        <tr r="J103" s="5"/>
      </tp>
    </main>
    <main first="bofaddin.rtdserver">
      <tp t="e">
        <v>#N/A</v>
        <stp/>
        <stp>BDH|16769359920429210168</stp>
        <tr r="O272" s="5"/>
        <tr r="O264" s="5"/>
      </tp>
    </main>
    <main first="bofaddin.rtdserver">
      <tp t="e">
        <v>#N/A</v>
        <stp/>
        <stp>BDH|11781740578957561977</stp>
        <tr r="P288" s="5"/>
        <tr r="O289" s="5"/>
      </tp>
    </main>
    <main first="bofaddin.rtdserver">
      <tp t="e">
        <v>#N/A</v>
        <stp/>
        <stp>BDH|12983189484787823353</stp>
        <tr r="U319" s="5"/>
        <tr r="U313" s="5"/>
      </tp>
    </main>
    <main first="bofaddin.rtdserver">
      <tp t="e">
        <v>#N/A</v>
        <stp/>
        <stp>BDH|16570252933448988002</stp>
        <tr r="V8" s="3"/>
      </tp>
    </main>
    <main first="bofaddin.rtdserver">
      <tp t="e">
        <v>#N/A</v>
        <stp/>
        <stp>BDH|10602374559281591818</stp>
        <tr r="P192" s="5"/>
        <tr r="O193" s="5"/>
      </tp>
    </main>
    <main first="bloomberg.rtd">
      <tp>
        <v>300.37002358639518</v>
        <stp/>
        <stp>##V3_BDPV12</stp>
        <stp>XS0992293901 Corp</stp>
        <stp>yas_ispread</stp>
        <stp>[hybrids_02.xlsx]sectorTable!R4C11</stp>
        <tr r="K4" s="3"/>
      </tp>
    </main>
    <main first="bloomberg.rtd">
      <tp>
        <v>252.07128190560547</v>
        <stp/>
        <stp>##V3_BDPV12</stp>
        <stp>FR0012648590 Corp</stp>
        <stp>yas_ispread</stp>
        <stp>[hybrids_02.xlsx]issuerTable!R436C10</stp>
        <tr r="J436" s="5"/>
      </tp>
      <tp>
        <v>252.07128190560547</v>
        <stp/>
        <stp>##V3_BDPV12</stp>
        <stp>FR0012648590 Corp</stp>
        <stp>yas_ispread</stp>
        <stp>[hybrids_02.xlsx]issuerTable!R439C10</stp>
        <tr r="J439" s="5"/>
      </tp>
      <tp>
        <v>371.2964660598127</v>
        <stp/>
        <stp>##V3_BDPV12</stp>
        <stp>FR0013464922 Corp</stp>
        <stp>yas_ispread</stp>
        <stp>[hybrids_02.xlsx]issuerTable!R220C11</stp>
        <tr r="K220" s="5"/>
      </tp>
      <tp>
        <v>371.2964660598127</v>
        <stp/>
        <stp>##V3_BDPV12</stp>
        <stp>FR0013464922 Corp</stp>
        <stp>yas_ispread</stp>
        <stp>[hybrids_02.xlsx]issuerTable!R226C11</stp>
        <tr r="K226" s="5"/>
      </tp>
      <tp>
        <v>280.22688927057169</v>
        <stp/>
        <stp>##V3_BDPV12</stp>
        <stp>FR0013252061 Corp</stp>
        <stp>yas_ispread</stp>
        <stp>[hybrids_02.xlsx]issuerTable!R437C10</stp>
        <tr r="J437" s="5"/>
      </tp>
      <tp>
        <v>280.22688927057169</v>
        <stp/>
        <stp>##V3_BDPV12</stp>
        <stp>FR0013252061 Corp</stp>
        <stp>yas_ispread</stp>
        <stp>[hybrids_02.xlsx]issuerTable!R436C11</stp>
        <tr r="K436" s="5"/>
      </tp>
      <tp>
        <v>325.07721193414682</v>
        <stp/>
        <stp>##V3_BDPV12</stp>
        <stp>FR0013367612 Corp</stp>
        <stp>yas_ispread</stp>
        <stp>[hybrids_02.xlsx]issuerTable!R218C10</stp>
        <tr r="J218" s="5"/>
      </tp>
      <tp>
        <v>325.07721193414682</v>
        <stp/>
        <stp>##V3_BDPV12</stp>
        <stp>FR0013367612 Corp</stp>
        <stp>yas_ispread</stp>
        <stp>[hybrids_02.xlsx]issuerTable!R217C11</stp>
        <tr r="K217" s="5"/>
      </tp>
      <tp>
        <v>253.31853430339621</v>
        <stp/>
        <stp>##V3_BDPV12</stp>
        <stp>FR0013310505 Corp</stp>
        <stp>yas_ispread</stp>
        <stp>[hybrids_02.xlsx]issuerTable!R192C11</stp>
        <tr r="K192" s="5"/>
      </tp>
      <tp>
        <v>253.31853430339621</v>
        <stp/>
        <stp>##V3_BDPV12</stp>
        <stp>FR0013310505 Corp</stp>
        <stp>yas_ispread</stp>
        <stp>[hybrids_02.xlsx]issuerTable!R193C10</stp>
        <tr r="J193" s="5"/>
      </tp>
      <tp>
        <v>192.24716281592166</v>
        <stp/>
        <stp>##V3_BDPV12</stp>
        <stp>XS1405770907 Corp</stp>
        <stp>yas_ispread</stp>
        <stp>[hybrids_02.xlsx]issuerTable!R132C10</stp>
        <tr r="J132" s="5"/>
      </tp>
      <tp>
        <v>192.24716281592166</v>
        <stp/>
        <stp>##V3_BDPV12</stp>
        <stp>XS1405770907 Corp</stp>
        <stp>yas_ispread</stp>
        <stp>[hybrids_02.xlsx]issuerTable!R131C11</stp>
        <tr r="K131" s="5"/>
      </tp>
      <tp>
        <v>205.62537450718247</v>
        <stp/>
        <stp>##V3_BDPV12</stp>
        <stp>XS1797138960 Corp</stp>
        <stp>yas_ispread</stp>
        <stp>[hybrids_02.xlsx]issuerTable!R454C10</stp>
        <tr r="J454" s="5"/>
      </tp>
      <tp>
        <v>205.62537450718247</v>
        <stp/>
        <stp>##V3_BDPV12</stp>
        <stp>XS1797138960 Corp</stp>
        <stp>yas_ispread</stp>
        <stp>[hybrids_02.xlsx]issuerTable!R453C11</stp>
        <tr r="K453" s="5"/>
      </tp>
      <tp>
        <v>318.4633970262546</v>
        <stp/>
        <stp>##V3_BDPV12</stp>
        <stp>XS2077670003 Corp</stp>
        <stp>yas_ispread</stp>
        <stp>[hybrids_02.xlsx]issuerTable!R266C10</stp>
        <tr r="J266" s="5"/>
      </tp>
      <tp>
        <v>318.4633970262546</v>
        <stp/>
        <stp>##V3_BDPV12</stp>
        <stp>XS2077670003 Corp</stp>
        <stp>yas_ispread</stp>
        <stp>[hybrids_02.xlsx]issuerTable!R265C11</stp>
        <tr r="K265" s="5"/>
      </tp>
      <tp>
        <v>371.74464883476645</v>
        <stp/>
        <stp>##V3_BDPV12</stp>
        <stp>XS1207058733 Corp</stp>
        <stp>yas_ispread</stp>
        <stp>[hybrids_02.xlsx]issuerTable!R312C10</stp>
        <tr r="J312" s="5"/>
      </tp>
      <tp>
        <v>371.74464883476645</v>
        <stp/>
        <stp>##V3_BDPV12</stp>
        <stp>XS1207058733 Corp</stp>
        <stp>yas_ispread</stp>
        <stp>[hybrids_02.xlsx]issuerTable!R311C11</stp>
        <tr r="K311" s="5"/>
      </tp>
      <tp>
        <v>227.4233800633084</v>
        <stp/>
        <stp>##V3_BDPV12</stp>
        <stp>XS1294342792 Corp</stp>
        <stp>yas_ispread</stp>
        <stp>[hybrids_02.xlsx]issuerTable!R418C10</stp>
        <tr r="J418" s="5"/>
      </tp>
      <tp>
        <v>227.4233800633084</v>
        <stp/>
        <stp>##V3_BDPV12</stp>
        <stp>XS1294342792 Corp</stp>
        <stp>yas_ispread</stp>
        <stp>[hybrids_02.xlsx]issuerTable!R421C10</stp>
        <tr r="J421" s="5"/>
      </tp>
      <tp t="s">
        <v>EUR</v>
        <stp/>
        <stp>##V3_BDPV12</stp>
        <stp>FR0013425170 Corp</stp>
        <stp>crncy</stp>
        <stp>[hybrids_02.xlsx]sectorTable!R36C17</stp>
        <tr r="Q36" s="3"/>
      </tp>
    </main>
    <main first="bofaddin.rtdserver">
      <tp t="e">
        <v>#N/A</v>
        <stp/>
        <stp>BDH|15448424982570550502</stp>
        <tr r="O226" s="5"/>
        <tr r="O217" s="5"/>
      </tp>
    </main>
    <main first="bofaddin.rtdserver">
      <tp t="e">
        <v>#N/A</v>
        <stp/>
        <stp>BDH|16427979127469416875</stp>
        <tr r="AA21" s="3"/>
      </tp>
    </main>
    <main first="bofaddin.rtdserver">
      <tp t="e">
        <v>#N/A</v>
        <stp/>
        <stp>BDH|15513811587919505004</stp>
        <tr r="P217" s="5"/>
        <tr r="O218" s="5"/>
      </tp>
    </main>
    <main first="bofaddin.rtdserver">
      <tp t="e">
        <v>#N/A</v>
        <stp/>
        <stp>BDH|18249777458670795615</stp>
        <tr r="U15" s="3"/>
      </tp>
      <tp t="e">
        <v>#N/A</v>
        <stp/>
        <stp>BDH|12459601935118913332</stp>
        <tr r="Z9" s="3"/>
      </tp>
    </main>
    <main first="bofaddin.rtdserver">
      <tp t="e">
        <v>#N/A</v>
        <stp/>
        <stp>BDH|13553398045238538001</stp>
        <tr r="U421" s="5"/>
        <tr r="U419" s="5"/>
        <tr r="AA32" s="3"/>
      </tp>
    </main>
    <main first="bloomberg.rtd">
      <tp>
        <v>291.45403442385856</v>
        <stp/>
        <stp>##V3_BDPV12</stp>
        <stp>FR0013478252 Corp</stp>
        <stp>yas_ispread</stp>
        <stp>[hybrids_02.xlsx]issuerTable!R381C11</stp>
        <tr r="K381" s="5"/>
      </tp>
      <tp>
        <v>291.45403442385856</v>
        <stp/>
        <stp>##V3_BDPV12</stp>
        <stp>FR0013478252 Corp</stp>
        <stp>yas_ispread</stp>
        <stp>[hybrids_02.xlsx]issuerTable!R383C11</stp>
        <tr r="K383" s="5"/>
      </tp>
      <tp>
        <v>433.89597407782014</v>
        <stp/>
        <stp>##V3_BDPV12</stp>
        <stp>XS1716945586 Corp</stp>
        <stp>yas_ispread</stp>
        <stp>[hybrids_02.xlsx]issuerTable!R400C11</stp>
        <tr r="K400" s="5"/>
      </tp>
      <tp>
        <v>433.89597407782014</v>
        <stp/>
        <stp>##V3_BDPV12</stp>
        <stp>XS1716945586 Corp</stp>
        <stp>yas_ispread</stp>
        <stp>[hybrids_02.xlsx]issuerTable!R402C11</stp>
        <tr r="K402" s="5"/>
      </tp>
      <tp>
        <v>353.09218879443989</v>
        <stp/>
        <stp>##V3_BDPV12</stp>
        <stp>XS1224953882 Corp</stp>
        <stp>yas_ispread</stp>
        <stp>[hybrids_02.xlsx]issuerTable!R399C11</stp>
        <tr r="K399" s="5"/>
      </tp>
      <tp>
        <v>353.09218879443989</v>
        <stp/>
        <stp>##V3_BDPV12</stp>
        <stp>XS1224953882 Corp</stp>
        <stp>yas_ispread</stp>
        <stp>[hybrids_02.xlsx]issuerTable!R400C10</stp>
        <tr r="J400" s="5"/>
      </tp>
      <tp>
        <v>338.55858698132403</v>
        <stp/>
        <stp>##V3_BDPV12</stp>
        <stp>XS2077670342 Corp</stp>
        <stp>yas_ispread</stp>
        <stp>[hybrids_02.xlsx]issuerTable!R266C11</stp>
        <tr r="K266" s="5"/>
      </tp>
      <tp>
        <v>338.55858698132403</v>
        <stp/>
        <stp>##V3_BDPV12</stp>
        <stp>XS2077670342 Corp</stp>
        <stp>yas_ispread</stp>
        <stp>[hybrids_02.xlsx]issuerTable!R272C11</stp>
        <tr r="K272" s="5"/>
      </tp>
      <tp>
        <v>411.34105047736489</v>
        <stp/>
        <stp>##V3_BDPV12</stp>
        <stp>XS2186001314 Corp</stp>
        <stp>yas_ispread</stp>
        <stp>[hybrids_02.xlsx]issuerTable!R319C11</stp>
        <tr r="K319" s="5"/>
      </tp>
      <tp>
        <v>411.34105047736489</v>
        <stp/>
        <stp>##V3_BDPV12</stp>
        <stp>XS2186001314 Corp</stp>
        <stp>yas_ispread</stp>
        <stp>[hybrids_02.xlsx]issuerTable!R313C11</stp>
        <tr r="K313" s="5"/>
      </tp>
    </main>
    <main first="bofaddin.rtdserver">
      <tp t="e">
        <v>#N/A</v>
        <stp/>
        <stp>BDH|12091966065364384407</stp>
        <tr r="Z30" s="3"/>
      </tp>
    </main>
    <main first="bofaddin.rtdserver">
      <tp t="e">
        <v>#N/A</v>
        <stp/>
        <stp>BDH|16762173563249119518</stp>
        <tr r="Z31" s="3"/>
      </tp>
    </main>
    <main first="bofaddin.rtdserver">
      <tp t="e">
        <v>#N/A</v>
        <stp/>
        <stp>BDH|16504168454557683848</stp>
        <tr r="Z5" s="3"/>
      </tp>
    </main>
    <main first="bloomberg.rtd">
      <tp>
        <v>279.15031872670374</v>
        <stp/>
        <stp>##V3_BDPV12</stp>
        <stp>DE000A14J611 Corp</stp>
        <stp>yas_ispread</stp>
        <stp>[hybrids_02.xlsx]issuerTable!R264C10</stp>
        <tr r="J264" s="5"/>
      </tp>
      <tp>
        <v>279.15031872670374</v>
        <stp/>
        <stp>##V3_BDPV12</stp>
        <stp>DE000A14J611 Corp</stp>
        <stp>yas_ispread</stp>
        <stp>[hybrids_02.xlsx]issuerTable!R272C10</stp>
        <tr r="J272" s="5"/>
      </tp>
    </main>
    <main first="bofaddin.rtdserver">
      <tp t="e">
        <v>#N/A</v>
        <stp/>
        <stp>BDH|16552048041388915714</stp>
        <tr r="AA26" s="3"/>
      </tp>
      <tp t="e">
        <v>#N/A</v>
        <stp/>
        <stp>BDH|12419836330162927666</stp>
        <tr r="P485" s="5"/>
        <tr r="O486" s="5"/>
      </tp>
    </main>
    <main first="bofaddin.rtdserver">
      <tp t="e">
        <v>#N/A</v>
        <stp/>
        <stp>BDH|13246527285756978515</stp>
        <tr r="P334" s="5"/>
        <tr r="O335" s="5"/>
      </tp>
    </main>
    <main first="bofaddin.rtdserver">
      <tp t="e">
        <v>#N/A</v>
        <stp/>
        <stp>BDH|17109733395992824631</stp>
        <tr r="O170" s="5"/>
        <tr r="O162" s="5"/>
      </tp>
      <tp t="e">
        <v>#N/A</v>
        <stp/>
        <stp>BDH|16709777054268125192</stp>
        <tr r="V17" s="3"/>
      </tp>
    </main>
    <main first="bloomberg.rtd">
      <tp>
        <v>236.96130881618359</v>
        <stp/>
        <stp>##V3_BDPV12</stp>
        <stp>XS1501166869 Corp</stp>
        <stp>yas_ispread</stp>
        <stp>[hybrids_02.xlsx]issuerTable!R112C11</stp>
        <tr r="K112" s="5"/>
      </tp>
      <tp>
        <v>236.96130881618359</v>
        <stp/>
        <stp>##V3_BDPV12</stp>
        <stp>XS1501166869 Corp</stp>
        <stp>yas_ispread</stp>
        <stp>[hybrids_02.xlsx]issuerTable!R105C11</stp>
        <tr r="K105" s="5"/>
      </tp>
      <tp t="s">
        <v>30/01/2024</v>
        <stp/>
        <stp>##V3_BDPV12</stp>
        <stp>AW875570 Corp</stp>
        <stp>nxt_call_dt</stp>
        <stp>[hybrids_02.xlsx]sectorTable!R9C7</stp>
        <tr r="G9" s="3"/>
      </tp>
    </main>
    <main first="bofaddin.rtdserver">
      <tp t="e">
        <v>#N/A</v>
        <stp/>
        <stp>BDH|14443047845056304472</stp>
        <tr r="O456" s="5"/>
        <tr r="O453" s="5"/>
      </tp>
    </main>
    <main first="bofaddin.rtdserver">
      <tp t="e">
        <v>#N/A</v>
        <stp/>
        <stp>BDH|17632516962962500405</stp>
        <tr r="Z18" s="3"/>
      </tp>
    </main>
    <main first="bofaddin.rtdserver">
      <tp t="e">
        <v>#N/A</v>
        <stp/>
        <stp>BDH|11817211733274062627</stp>
        <tr r="AA8" s="3"/>
      </tp>
    </main>
    <main first="bofaddin.rtdserver">
      <tp t="e">
        <v>#N/A</v>
        <stp/>
        <stp>BDH|10232189411265211722</stp>
        <tr r="P22" s="5"/>
        <tr r="O41" s="5"/>
        <tr r="O23" s="5"/>
      </tp>
    </main>
    <main first="bloomberg.rtd">
      <tp>
        <v>338.53522138602182</v>
        <stp/>
        <stp>##V3_BDPV12</stp>
        <stp>BE6309987400 Corp</stp>
        <stp>yas_ispread</stp>
        <stp>[hybrids_02.xlsx]issuerTable!R243C10</stp>
        <tr r="J243" s="5"/>
      </tp>
      <tp>
        <v>338.53522138602182</v>
        <stp/>
        <stp>##V3_BDPV12</stp>
        <stp>BE6309987400 Corp</stp>
        <stp>yas_ispread</stp>
        <stp>[hybrids_02.xlsx]issuerTable!R242C11</stp>
        <tr r="K242" s="5"/>
      </tp>
      <tp>
        <v>234.0163532948288</v>
        <stp/>
        <stp>##V3_BDPV12</stp>
        <stp>XS2196328608 Corp</stp>
        <stp>yas_ispread</stp>
        <stp>[hybrids_02.xlsx]issuerTable!R134C10</stp>
        <tr r="J134" s="5"/>
      </tp>
      <tp>
        <v>234.0163532948288</v>
        <stp/>
        <stp>##V3_BDPV12</stp>
        <stp>XS2196328608 Corp</stp>
        <stp>yas_ispread</stp>
        <stp>[hybrids_02.xlsx]issuerTable!R133C11</stp>
        <tr r="K133" s="5"/>
      </tp>
      <tp>
        <v>159.49756429971029</v>
        <stp/>
        <stp>##V3_BDPV12</stp>
        <stp>XS1115490523 Corp</stp>
        <stp>yas_ispread</stp>
        <stp>[hybrids_02.xlsx]issuerTable!R170C10</stp>
        <tr r="J170" s="5"/>
      </tp>
      <tp>
        <v>159.49756429971029</v>
        <stp/>
        <stp>##V3_BDPV12</stp>
        <stp>XS1115490523 Corp</stp>
        <stp>yas_ispread</stp>
        <stp>[hybrids_02.xlsx]issuerTable!R162C10</stp>
        <tr r="J162" s="5"/>
      </tp>
      <tp>
        <v>20.284528022815177</v>
        <stp/>
        <stp>##V3_BDPV12</stp>
        <stp>ZR363806 Corp</stp>
        <stp>interval_std_dev</stp>
        <stp>[hybrids_02.xlsx]sectorTable!R19C33</stp>
        <stp>calc_interval=30d</stp>
        <stp>market_data_override=sp210</stp>
        <tr r="AG19" s="3"/>
      </tp>
    </main>
    <main first="bofaddin.rtdserver">
      <tp t="e">
        <v>#N/A</v>
        <stp/>
        <stp>BDH|10516248432197272555</stp>
        <tr r="U8" s="3"/>
      </tp>
      <tp t="e">
        <v>#N/A</v>
        <stp/>
        <stp>BDH|13351252466736246267</stp>
        <tr r="AA35" s="3"/>
      </tp>
      <tp t="e">
        <v>#N/A</v>
        <stp/>
        <stp>BDH|10168743154195148445</stp>
        <tr r="P241" s="5"/>
        <tr r="O242" s="5"/>
      </tp>
      <tp t="e">
        <v>#N/A</v>
        <stp/>
        <stp>BDH|16676901379903391883</stp>
        <tr r="T64" s="5"/>
      </tp>
    </main>
    <main first="bofaddin.rtdserver">
      <tp t="e">
        <v>#N/A</v>
        <stp/>
        <stp>BDH|14878333747111371167</stp>
        <tr r="P399" s="5"/>
        <tr r="O400" s="5"/>
      </tp>
    </main>
    <main first="bofaddin.rtdserver">
      <tp t="e">
        <v>#N/A</v>
        <stp/>
        <stp>BDH|11350032612093969019</stp>
        <tr r="U40" s="5"/>
        <tr r="U28" s="5"/>
        <tr r="T29" s="5"/>
      </tp>
    </main>
    <main first="bofaddin.rtdserver">
      <tp t="e">
        <v>#N/A</v>
        <stp/>
        <stp>BDH|13604404898399265402</stp>
        <tr r="U19" s="3"/>
      </tp>
    </main>
    <main first="bofaddin.rtdserver">
      <tp t="e">
        <v>#N/A</v>
        <stp/>
        <stp>BDH|14362056174203585383</stp>
        <tr r="P380" s="5"/>
        <tr r="O381" s="5"/>
      </tp>
      <tp t="e">
        <v>#N/A</v>
        <stp/>
        <stp>BDH|14453731189640763862</stp>
        <tr r="P40" s="5"/>
        <tr r="P28" s="5"/>
        <tr r="O29" s="5"/>
      </tp>
    </main>
    <main first="bofaddin.rtdserver">
      <tp t="e">
        <v>#N/A</v>
        <stp/>
        <stp>BDH|10755410052504334691</stp>
        <tr r="P66" s="5"/>
        <tr r="O67" s="5"/>
        <tr r="O78" s="5"/>
      </tp>
      <tp t="e">
        <v>#N/A</v>
        <stp/>
        <stp>BDH|16637994594791208471</stp>
        <tr r="P226" s="5"/>
        <tr r="P220" s="5"/>
      </tp>
    </main>
    <main first="bloomberg.rtd">
      <tp>
        <v>306.75918125557791</v>
        <stp/>
        <stp>##V3_BDPV12</stp>
        <stp>XS1713463559 Corp</stp>
        <stp>yas_ispread</stp>
        <stp>[hybrids_02.xlsx]issuerTable!R342C11</stp>
        <tr r="K342" s="5"/>
      </tp>
      <tp>
        <v>306.75918125557791</v>
        <stp/>
        <stp>##V3_BDPV12</stp>
        <stp>XS1713463559 Corp</stp>
        <stp>yas_ispread</stp>
        <stp>[hybrids_02.xlsx]issuerTable!R336C11</stp>
        <tr r="K336" s="5"/>
      </tp>
      <tp>
        <v>202.46454280104012</v>
        <stp/>
        <stp>##V3_BDPV12</stp>
        <stp>XS1720192696 Corp</stp>
        <stp>yas_ispread</stp>
        <stp>[hybrids_02.xlsx]issuerTable!R358C10</stp>
        <tr r="J358" s="5"/>
      </tp>
      <tp>
        <v>202.46454280104012</v>
        <stp/>
        <stp>##V3_BDPV12</stp>
        <stp>XS1720192696 Corp</stp>
        <stp>yas_ispread</stp>
        <stp>[hybrids_02.xlsx]issuerTable!R357C11</stp>
        <tr r="K357" s="5"/>
      </tp>
      <tp>
        <v>245.33404795369057</v>
        <stp/>
        <stp>##V3_BDPV12</stp>
        <stp>XS1115498260 Corp</stp>
        <stp>yas_ispread</stp>
        <stp>[hybrids_02.xlsx]issuerTable!R165C10</stp>
        <tr r="J165" s="5"/>
      </tp>
      <tp>
        <v>245.33404795369057</v>
        <stp/>
        <stp>##V3_BDPV12</stp>
        <stp>XS1115498260 Corp</stp>
        <stp>yas_ispread</stp>
        <stp>[hybrids_02.xlsx]issuerTable!R164C11</stp>
        <tr r="K164" s="5"/>
      </tp>
    </main>
    <main first="bofaddin.rtdserver">
      <tp t="e">
        <v>#N/A</v>
        <stp/>
        <stp>BDH|13136771702124732002</stp>
        <tr r="U311" s="5"/>
        <tr r="T312" s="5"/>
        <tr r="Z8" s="3"/>
      </tp>
      <tp t="e">
        <v>#N/A</v>
        <stp/>
        <stp>BDH|14139197806001971454</stp>
        <tr r="V20" s="3"/>
      </tp>
    </main>
    <main first="bofaddin.rtdserver">
      <tp t="e">
        <v>#N/A</v>
        <stp/>
        <stp>BDH|18111118162447480819</stp>
        <tr r="P296" s="5"/>
        <tr r="P290" s="5"/>
      </tp>
      <tp t="e">
        <v>#N/A</v>
        <stp/>
        <stp>BDH|15279944832396410976</stp>
        <tr r="U4" s="3"/>
      </tp>
    </main>
    <main first="bloomberg.rtd">
      <tp>
        <v>341.90659672868861</v>
        <stp/>
        <stp>##V3_BDPV12</stp>
        <stp>XS1323897725 Corp</stp>
        <stp>yas_ispread</stp>
        <stp>[hybrids_02.xlsx]sectorTable!R4C12</stp>
        <tr r="L4" s="3"/>
      </tp>
    </main>
    <main first="bofaddin.rtdserver">
      <tp t="e">
        <v>#N/A</v>
        <stp/>
        <stp>BDH|15528208474011986118</stp>
        <tr r="U357" s="5"/>
        <tr r="T358" s="5"/>
      </tp>
    </main>
    <main first="bofaddin.rtdserver">
      <tp t="e">
        <v>#N/A</v>
        <stp/>
        <stp>BDH|12261817440747026988</stp>
        <tr r="AA27" s="3"/>
      </tp>
    </main>
    <main first="bloomberg.rtd">
      <tp>
        <v>324.69586972020187</v>
        <stp/>
        <stp>##V3_BDPV12</stp>
        <stp>XS1811181566 Corp</stp>
        <stp>yas_ispread</stp>
        <stp>[hybrids_02.xlsx]sectorTable!R6C12</stp>
        <tr r="L6" s="3"/>
      </tp>
    </main>
    <main first="bofaddin.rtdserver">
      <tp t="e">
        <v>#N/A</v>
        <stp/>
        <stp>BDH|11805688088478468733</stp>
        <tr r="P112" s="5"/>
        <tr r="P105" s="5"/>
      </tp>
      <tp t="e">
        <v>#N/A</v>
        <stp/>
        <stp>BDH|17614424987902542999</stp>
        <tr r="V38" s="3"/>
      </tp>
    </main>
    <main first="bloomberg.rtd">
      <tp>
        <v>213.7048695866381</v>
        <stp/>
        <stp>##V3_BDPV12</stp>
        <stp>FR0011697010 Corp</stp>
        <stp>yas_ispread</stp>
        <stp>[hybrids_02.xlsx]issuerTable!R226C10</stp>
        <tr r="J226" s="5"/>
      </tp>
      <tp>
        <v>213.7048695866381</v>
        <stp/>
        <stp>##V3_BDPV12</stp>
        <stp>FR0011697010 Corp</stp>
        <stp>yas_ispread</stp>
        <stp>[hybrids_02.xlsx]issuerTable!R217C10</stp>
        <tr r="J217" s="5"/>
      </tp>
      <tp>
        <v>198.5378286015075</v>
        <stp/>
        <stp>##V3_BDPV12</stp>
        <stp>XS1413581205 Corp</stp>
        <stp>yas_ispread</stp>
        <stp>[hybrids_02.xlsx]issuerTable!R102C10</stp>
        <tr r="J102" s="5"/>
      </tp>
      <tp>
        <v>198.5378286015075</v>
        <stp/>
        <stp>##V3_BDPV12</stp>
        <stp>XS1413581205 Corp</stp>
        <stp>yas_ispread</stp>
        <stp>[hybrids_02.xlsx]issuerTable!R110C10</stp>
        <tr r="J110" s="5"/>
      </tp>
      <tp>
        <v>198.5378286015075</v>
        <stp/>
        <stp>##V3_BDPV12</stp>
        <stp>XS1413581205 Corp</stp>
        <stp>yas_ispread</stp>
        <stp>[hybrids_02.xlsx]issuerTable!R101C11</stp>
        <tr r="K101" s="5"/>
      </tp>
      <tp>
        <v>28.652420715054994</v>
        <stp/>
        <stp>##V3_BDPV12</stp>
        <stp>AW875570 Corp</stp>
        <stp>interval_std_dev</stp>
        <stp>[hybrids_02.xlsx]sectorTable!R9C33</stp>
        <stp>calc_interval=30d</stp>
        <stp>market_data_override=sp210</stp>
        <tr r="AG9" s="3"/>
      </tp>
      <tp>
        <v>54.826983015190009</v>
        <stp/>
        <stp>##V3_BDPV12</stp>
        <stp>LW253022 Corp</stp>
        <stp>interval_std_dev</stp>
        <stp>[hybrids_02.xlsx]sectorTable!R5C33</stp>
        <stp>calc_interval=30d</stp>
        <stp>market_data_override=sp210</stp>
        <tr r="AG5" s="3"/>
      </tp>
      <tp>
        <v>214.51604056760806</v>
        <stp/>
        <stp>##V3_BDPV12</stp>
        <stp>XS1890845875 Corp</stp>
        <stp>yas_ispread</stp>
        <stp>[hybrids_02.xlsx]issuerTable!R456C11</stp>
        <tr r="K456" s="5"/>
      </tp>
      <tp>
        <v>214.51604056760806</v>
        <stp/>
        <stp>##V3_BDPV12</stp>
        <stp>XS1890845875 Corp</stp>
        <stp>yas_ispread</stp>
        <stp>[hybrids_02.xlsx]issuerTable!R454C11</stp>
        <tr r="K454" s="5"/>
      </tp>
      <tp t="s">
        <v>11/03/2026</v>
        <stp/>
        <stp>##V3_BDPV12</stp>
        <stp>BJ814648 Corp</stp>
        <stp>nxt_call_dt</stp>
        <stp>[hybrids_02.xlsx]sectorTable!R8C8</stp>
        <tr r="H8" s="3"/>
      </tp>
      <tp t="s">
        <v>EUR</v>
        <stp/>
        <stp>##V3_BDPV12</stp>
        <stp>FR0013478252 Corp</stp>
        <stp>crncy</stp>
        <stp>[hybrids_02.xlsx]sectorTable!R36C18</stp>
        <tr r="R36" s="3"/>
      </tp>
    </main>
    <main first="bofaddin.rtdserver">
      <tp t="e">
        <v>#N/A</v>
        <stp/>
        <stp>BDH|10807607779790482045</stp>
        <tr r="V13" s="3"/>
      </tp>
    </main>
    <main first="bofaddin.rtdserver">
      <tp t="e">
        <v>#N/A</v>
        <stp/>
        <stp>BDH|15140926831778318611</stp>
        <tr r="O21" s="5"/>
      </tp>
      <tp t="e">
        <v>#N/A</v>
        <stp/>
        <stp>BDH|16855850882974918354</stp>
        <tr r="P131" s="5"/>
        <tr r="O132" s="5"/>
      </tp>
      <tp t="e">
        <v>#N/A</v>
        <stp/>
        <stp>BDH|11437132015703928388</stp>
        <tr r="AA34" s="3"/>
      </tp>
    </main>
    <main first="bofaddin.rtdserver">
      <tp t="e">
        <v>#N/A</v>
        <stp/>
        <stp>BDH|16331036067753070224</stp>
        <tr r="P312" s="5"/>
        <tr r="O313" s="5"/>
      </tp>
    </main>
    <main first="bofaddin.rtdserver">
      <tp t="e">
        <v>#N/A</v>
        <stp/>
        <stp>BDH|14263068944813015244</stp>
        <tr r="P453" s="5"/>
        <tr r="O454" s="5"/>
      </tp>
    </main>
    <main first="bofaddin.rtdserver">
      <tp t="e">
        <v>#N/A</v>
        <stp/>
        <stp>BDH|16715037651831038324</stp>
        <tr r="P67" s="5"/>
        <tr r="O68" s="5"/>
      </tp>
    </main>
    <main first="bofaddin.rtdserver">
      <tp t="e">
        <v>#N/A</v>
        <stp/>
        <stp>BDH|16678426274592369652</stp>
        <tr r="P68" s="5"/>
        <tr r="O69" s="5"/>
        <tr r="P75" s="5"/>
      </tp>
    </main>
    <main first="bofaddin.rtdserver">
      <tp t="e">
        <v>#N/A</v>
        <stp/>
        <stp>BDH|11791260416242728184</stp>
        <tr r="P24" s="5"/>
        <tr r="O25" s="5"/>
      </tp>
    </main>
    <main first="bofaddin.rtdserver">
      <tp t="e">
        <v>#N/A</v>
        <stp/>
        <stp>BDH|12940298773683148584</stp>
        <tr r="U453" s="5"/>
        <tr r="T454" s="5"/>
      </tp>
      <tp t="e">
        <v>#N/A</v>
        <stp/>
        <stp>BDH|14429089935467588169</stp>
        <tr r="U37" s="3"/>
      </tp>
    </main>
    <main first="bofaddin.rtdserver">
      <tp t="e">
        <v>#N/A</v>
        <stp/>
        <stp>BDH|16088347663784079683</stp>
        <tr r="U78" s="5"/>
        <tr r="U76" s="5"/>
        <tr r="U70" s="5"/>
      </tp>
    </main>
    <main first="bloomberg.rtd">
      <tp>
        <v>694.07454242438882</v>
        <stp/>
        <stp>##V3_BDPV12</stp>
        <stp>FR0013399177 Corp</stp>
        <stp>yas_ispread</stp>
        <stp>[hybrids_02.xlsx]issuerTable!R486C10</stp>
        <tr r="J486" s="5"/>
      </tp>
      <tp>
        <v>694.07454242438882</v>
        <stp/>
        <stp>##V3_BDPV12</stp>
        <stp>FR0013399177 Corp</stp>
        <stp>yas_ispread</stp>
        <stp>[hybrids_02.xlsx]issuerTable!R485C11</stp>
        <tr r="K485" s="5"/>
      </tp>
      <tp>
        <v>182.59988305819181</v>
        <stp/>
        <stp>##V3_BDPV12</stp>
        <stp>FR0012278539 Corp</stp>
        <stp>yas_ispread</stp>
        <stp>[hybrids_02.xlsx]issuerTable!R380C10</stp>
        <tr r="J380" s="5"/>
      </tp>
      <tp>
        <v>182.59988305819181</v>
        <stp/>
        <stp>##V3_BDPV12</stp>
        <stp>FR0012278539 Corp</stp>
        <stp>yas_ispread</stp>
        <stp>[hybrids_02.xlsx]issuerTable!R383C10</stp>
        <tr r="J383" s="5"/>
      </tp>
      <tp>
        <v>213.48904851858163</v>
        <stp/>
        <stp>##V3_BDPV12</stp>
        <stp>XS1028599287 Corp</stp>
        <stp>yas_ispread</stp>
        <stp>[hybrids_02.xlsx]issuerTable!R162C11</stp>
        <tr r="K162" s="5"/>
      </tp>
      <tp>
        <v>213.48904851858163</v>
        <stp/>
        <stp>##V3_BDPV12</stp>
        <stp>XS1028599287 Corp</stp>
        <stp>yas_ispread</stp>
        <stp>[hybrids_02.xlsx]issuerTable!R163C10</stp>
        <tr r="J163" s="5"/>
      </tp>
      <tp>
        <v>30.690809389903507</v>
        <stp/>
        <stp>##V3_BDPV12</stp>
        <stp>ZR796682 Corp</stp>
        <stp>interval_std_dev</stp>
        <stp>[hybrids_02.xlsx]sectorTable!R27C33</stp>
        <stp>calc_interval=30d</stp>
        <stp>market_data_override=sp210</stp>
        <tr r="AG27" s="3"/>
      </tp>
    </main>
    <main first="bofaddin.rtdserver">
      <tp t="e">
        <v>#N/A</v>
        <stp/>
        <stp>BDH|13615889317645339984</stp>
        <tr r="O342" s="5"/>
        <tr r="O334" s="5"/>
      </tp>
      <tp t="e">
        <v>#N/A</v>
        <stp/>
        <stp>BDH|14062156339861805169</stp>
        <tr r="P264" s="5"/>
        <tr r="O265" s="5"/>
      </tp>
      <tp t="e">
        <v>#N/A</v>
        <stp/>
        <stp>BDH|10251252541436248663</stp>
        <tr r="AA5" s="3"/>
      </tp>
    </main>
    <main first="bofaddin.rtdserver">
      <tp t="e">
        <v>#N/A</v>
        <stp/>
        <stp>BDH|14618340246423613673</stp>
        <tr r="P130" s="5"/>
        <tr r="O139" s="5"/>
        <tr r="O131" s="5"/>
        <tr r="O130" s="5"/>
      </tp>
    </main>
    <main first="bofaddin.rtdserver">
      <tp t="e">
        <v>#N/A</v>
        <stp/>
        <stp>BDH|11431141004337634161</stp>
        <tr r="U33" s="3"/>
      </tp>
      <tp t="e">
        <v>#N/A</v>
        <stp/>
        <stp>BDH|11111408449903419485</stp>
        <tr r="Z38" s="3"/>
      </tp>
    </main>
    <main first="bofaddin.rtdserver">
      <tp t="e">
        <v>#N/A</v>
        <stp/>
        <stp>BDH|14995371221956749513</stp>
        <tr r="O64" s="5"/>
      </tp>
    </main>
    <main first="bofaddin.rtdserver">
      <tp t="e">
        <v>#N/A</v>
        <stp/>
        <stp>BDH|17908839603731178809</stp>
        <tr r="V36" s="3"/>
      </tp>
      <tp t="e">
        <v>#N/A</v>
        <stp/>
        <stp>BDH|18311380312005967981</stp>
        <tr r="V21" s="3"/>
      </tp>
    </main>
    <main first="bloomberg.rtd">
      <tp>
        <v>326.13138702224421</v>
        <stp/>
        <stp>##V3_BDPV12</stp>
        <stp>PTEDPLOM0017 Corp</stp>
        <stp>yas_ispread</stp>
        <stp>[hybrids_02.xlsx]issuerTable!R472C11</stp>
        <tr r="K472" s="5"/>
      </tp>
      <tp>
        <v>326.13138702224421</v>
        <stp/>
        <stp>##V3_BDPV12</stp>
        <stp>PTEDPLOM0017 Corp</stp>
        <stp>yas_ispread</stp>
        <stp>[hybrids_02.xlsx]issuerTable!R470C11</stp>
        <tr r="K470" s="5"/>
      </tp>
    </main>
    <main first="bofaddin.rtdserver">
      <tp t="e">
        <v>#N/A</v>
        <stp/>
        <stp>BDH|17967589827054998202</stp>
        <tr r="P356" s="5"/>
        <tr r="O357" s="5"/>
      </tp>
    </main>
    <main first="bloomberg.rtd">
      <tp>
        <v>329.34959167067552</v>
        <stp/>
        <stp>##V3_BDPV12</stp>
        <stp>XS1323897485 Corp</stp>
        <stp>yas_ispread</stp>
        <stp>[hybrids_02.xlsx]issuerTable!R249C10</stp>
        <tr r="J249" s="5"/>
      </tp>
      <tp>
        <v>329.34959167067552</v>
        <stp/>
        <stp>##V3_BDPV12</stp>
        <stp>XS1323897485 Corp</stp>
        <stp>yas_ispread</stp>
        <stp>[hybrids_02.xlsx]issuerTable!R241C10</stp>
        <tr r="J241" s="5"/>
      </tp>
      <tp>
        <v>341.90659672868861</v>
        <stp/>
        <stp>##V3_BDPV12</stp>
        <stp>XS1323897725 Corp</stp>
        <stp>yas_ispread</stp>
        <stp>[hybrids_02.xlsx]issuerTable!R243C11</stp>
        <tr r="K243" s="5"/>
      </tp>
      <tp>
        <v>341.90659672868861</v>
        <stp/>
        <stp>##V3_BDPV12</stp>
        <stp>XS1323897725 Corp</stp>
        <stp>yas_ispread</stp>
        <stp>[hybrids_02.xlsx]issuerTable!R249C11</stp>
        <tr r="K249" s="5"/>
      </tp>
      <tp>
        <v>232.76921308114501</v>
        <stp/>
        <stp>##V3_BDPV12</stp>
        <stp>XS2035564629 Corp</stp>
        <stp>yas_ispread</stp>
        <stp>[hybrids_02.xlsx]issuerTable!R139C11</stp>
        <tr r="K139" s="5"/>
      </tp>
      <tp>
        <v>232.76921308114501</v>
        <stp/>
        <stp>##V3_BDPV12</stp>
        <stp>XS2035564629 Corp</stp>
        <stp>yas_ispread</stp>
        <stp>[hybrids_02.xlsx]issuerTable!R134C11</stp>
        <tr r="K134" s="5"/>
      </tp>
      <tp>
        <v>232.76921308114501</v>
        <stp/>
        <stp>##V3_BDPV12</stp>
        <stp>XS2035564629 Corp</stp>
        <stp>yas_ispread</stp>
        <stp>[hybrids_02.xlsx]issuerTable!R141C11</stp>
        <tr r="K141" s="5"/>
      </tp>
      <tp>
        <v>28.918601267702833</v>
        <stp/>
        <stp>##V3_BDPV12</stp>
        <stp>ZR457518 Corp</stp>
        <stp>interval_std_dev</stp>
        <stp>[hybrids_02.xlsx]sectorTable!R26C33</stp>
        <stp>calc_interval=30d</stp>
        <stp>market_data_override=sp210</stp>
        <tr r="AG26" s="3"/>
      </tp>
    </main>
    <main first="bofaddin.rtdserver">
      <tp t="e">
        <v>#N/A</v>
        <stp/>
        <stp>BDH|12877071409277663208</stp>
        <tr r="U112" s="5"/>
        <tr r="U105" s="5"/>
        <tr r="AA28" s="3"/>
      </tp>
      <tp t="e">
        <v>#N/A</v>
        <stp/>
        <stp>BDH|11132102157401058360</stp>
        <tr r="O101" s="5"/>
      </tp>
    </main>
    <main first="bofaddin.rtdserver">
      <tp t="e">
        <v>#N/A</v>
        <stp/>
        <stp>BDH|14691098905430921350</stp>
        <tr r="U67" s="5"/>
        <tr r="T68" s="5"/>
      </tp>
    </main>
    <main first="bloomberg.rtd">
      <tp>
        <v>262.36630470958085</v>
        <stp/>
        <stp>##V3_BDPV12</stp>
        <stp>XS1191320297 Corp</stp>
        <stp>yas_ispread</stp>
        <stp>[hybrids_02.xlsx]sectorTable!R6C11</stp>
        <tr r="K6" s="3"/>
      </tp>
    </main>
    <main first="bofaddin.rtdserver">
      <tp t="e">
        <v>#N/A</v>
        <stp/>
        <stp>BDH|17386681876105427408</stp>
        <tr r="U23" s="5"/>
        <tr r="T24" s="5"/>
      </tp>
    </main>
    <main first="bloomberg.rtd">
      <tp>
        <v>694.07454242438882</v>
        <stp/>
        <stp>##V3_BDPV12</stp>
        <stp>FR0013399177 Corp</stp>
        <stp>yas_ispread</stp>
        <stp>[hybrids_02.xlsx]sectorTable!R7C11</stp>
        <tr r="K7" s="3"/>
      </tp>
    </main>
    <main first="bofaddin.rtdserver">
      <tp t="e">
        <v>#N/A</v>
        <stp/>
        <stp>BDH|16787337651221402693</stp>
        <tr r="O200" s="5"/>
        <tr r="O192" s="5"/>
      </tp>
    </main>
    <main first="bofaddin.rtdserver">
      <tp t="e">
        <v>#N/A</v>
        <stp/>
        <stp>BDH|11125904981445876252</stp>
        <tr r="V22" s="3"/>
      </tp>
    </main>
    <main first="bloomberg.rtd">
      <tp>
        <v>740.15026195502458</v>
        <stp/>
        <stp>##V3_BDPV12</stp>
        <stp>FR0013457157 Corp</stp>
        <stp>yas_ispread</stp>
        <stp>[hybrids_02.xlsx]sectorTable!R7C12</stp>
        <tr r="L7" s="3"/>
      </tp>
    </main>
    <main first="bloomberg.rtd">
      <tp>
        <v>389.0336994008839</v>
        <stp/>
        <stp>##V3_BDPV12</stp>
        <stp>XS2185997884 Corp</stp>
        <stp>yas_ispread</stp>
        <stp>[hybrids_02.xlsx]issuerTable!R312C11</stp>
        <tr r="K312" s="5"/>
      </tp>
      <tp>
        <v>389.0336994008839</v>
        <stp/>
        <stp>##V3_BDPV12</stp>
        <stp>XS2185997884 Corp</stp>
        <stp>yas_ispread</stp>
        <stp>[hybrids_02.xlsx]issuerTable!R313C10</stp>
        <tr r="J313" s="5"/>
      </tp>
    </main>
    <main first="bofaddin.rtdserver">
      <tp t="e">
        <v>#N/A</v>
        <stp/>
        <stp>BDH|11608010327691677671</stp>
        <tr r="U226" s="5"/>
        <tr r="U220" s="5"/>
      </tp>
      <tp t="e">
        <v>#N/A</v>
        <stp/>
        <stp>BDH|14247461775605372630</stp>
        <tr r="T101" s="5"/>
      </tp>
    </main>
    <main first="bofaddin.rtdserver">
      <tp t="e">
        <v>#N/A</v>
        <stp/>
        <stp>BDH|14586651011772628576</stp>
        <tr r="V6" s="3"/>
      </tp>
    </main>
    <main first="bofaddin.rtdserver">
      <tp t="e">
        <v>#N/A</v>
        <stp/>
        <stp>BDH|17959680055796055673</stp>
        <tr r="P472" s="5"/>
        <tr r="P470" s="5"/>
      </tp>
    </main>
    <main first="bofaddin.rtdserver">
      <tp t="e">
        <v>#N/A</v>
        <stp/>
        <stp>BDH|17426749923332213430</stp>
        <tr r="T75" s="5"/>
        <tr r="U64" s="5"/>
        <tr r="T65" s="5"/>
      </tp>
    </main>
    <main first="bofaddin.rtdserver">
      <tp t="e">
        <v>#N/A</v>
        <stp/>
        <stp>BDH|10499185219195894195</stp>
        <tr r="V28" s="3"/>
      </tp>
    </main>
    <main first="bofaddin.rtdserver">
      <tp t="e">
        <v>#N/A</v>
        <stp/>
        <stp>BDH|14688209570536967389</stp>
        <tr r="AA38" s="3"/>
      </tp>
      <tp t="e">
        <v>#N/A</v>
        <stp/>
        <stp>BDH|15742522573003010015</stp>
        <tr r="U27" s="5"/>
        <tr r="T28" s="5"/>
      </tp>
    </main>
    <main first="bofaddin.rtdserver">
      <tp t="e">
        <v>#N/A</v>
        <stp/>
        <stp>BDH|10045879468398016260</stp>
        <tr r="U38" s="3"/>
      </tp>
      <tp t="e">
        <v>#N/A</v>
        <stp/>
        <stp>BDH|17729644614964884069</stp>
        <tr r="T439" s="5"/>
        <tr r="T436" s="5"/>
      </tp>
    </main>
    <main first="bofaddin.rtdserver">
      <tp t="e">
        <v>#N/A</v>
        <stp/>
        <stp>BDH|15471583807484085003</stp>
        <tr r="P436" s="5"/>
        <tr r="O437" s="5"/>
      </tp>
    </main>
    <main first="bofaddin.rtdserver">
      <tp t="e">
        <v>#N/A</v>
        <stp/>
        <stp>BDH|14206611963794289481</stp>
        <tr r="P456" s="5"/>
        <tr r="P454" s="5"/>
      </tp>
      <tp t="e">
        <v>#N/A</v>
        <stp/>
        <stp>BDH|11501074468413887085</stp>
        <tr r="U101" s="5"/>
        <tr r="T110" s="5"/>
        <tr r="T102" s="5"/>
      </tp>
    </main>
    <main first="bofaddin.rtdserver">
      <tp t="e">
        <v>#N/A</v>
        <stp/>
        <stp>BDH|11238169548289323934</stp>
        <tr r="V29" s="3"/>
      </tp>
    </main>
    <main first="bofaddin.rtdserver">
      <tp t="e">
        <v>#N/A</v>
        <stp/>
        <stp>BDH|15851310400780176271</stp>
        <tr r="T296" s="5"/>
        <tr r="T288" s="5"/>
      </tp>
    </main>
    <main first="bloomberg.rtd">
      <tp>
        <v>371.74464883476645</v>
        <stp/>
        <stp>##V3_BDPV12</stp>
        <stp>XS1207058733 Corp</stp>
        <stp>yas_ispread</stp>
        <stp>[hybrids_02.xlsx]sectorTable!R8C11</stp>
        <tr r="K8" s="3"/>
      </tp>
    </main>
    <main first="bloomberg.rtd">
      <tp>
        <v>183.183931695458</v>
        <stp/>
        <stp>##V3_BDPV12</stp>
        <stp>XS1152343668 Corp</stp>
        <stp>yas_ispread</stp>
        <stp>[hybrids_02.xlsx]issuerTable!R288C11</stp>
        <tr r="K288" s="5"/>
      </tp>
      <tp>
        <v>183.183931695458</v>
        <stp/>
        <stp>##V3_BDPV12</stp>
        <stp>XS1152343668 Corp</stp>
        <stp>yas_ispread</stp>
        <stp>[hybrids_02.xlsx]issuerTable!R289C10</stp>
        <tr r="J289" s="5"/>
      </tp>
      <tp>
        <v>183.46531881143321</v>
        <stp/>
        <stp>##V3_BDPV12</stp>
        <stp>XS0943370543 Corp</stp>
        <stp>yas_ispread</stp>
        <stp>[hybrids_02.xlsx]issuerTable!R357C10</stp>
        <tr r="J357" s="5"/>
      </tp>
      <tp>
        <v>183.46531881143321</v>
        <stp/>
        <stp>##V3_BDPV12</stp>
        <stp>XS0943370543 Corp</stp>
        <stp>yas_ispread</stp>
        <stp>[hybrids_02.xlsx]issuerTable!R356C11</stp>
        <tr r="K356" s="5"/>
      </tp>
      <tp t="s">
        <v>02/01/2022</v>
        <stp/>
        <stp>##V3_BDPV12</stp>
        <stp>LW253022 Corp</stp>
        <stp>nxt_call_dt</stp>
        <stp>[hybrids_02.xlsx]sectorTable!R5C7</stp>
        <tr r="G5" s="3"/>
      </tp>
      <tp>
        <v>87.58872190890483</v>
        <stp/>
        <stp>##V3_BDPV12</stp>
        <stp>ZS235422 Corp</stp>
        <stp>interval_std_dev</stp>
        <stp>[hybrids_02.xlsx]sectorTable!R21C33</stp>
        <stp>calc_interval=30d</stp>
        <stp>market_data_override=sp210</stp>
        <tr r="AG21" s="3"/>
      </tp>
    </main>
    <main first="bofaddin.rtdserver">
      <tp t="e">
        <v>#N/A</v>
        <stp/>
        <stp>BDH|16239314445716133276</stp>
        <tr r="AA31" s="3"/>
      </tp>
    </main>
    <main first="bofaddin.rtdserver">
      <tp t="e">
        <v>#N/A</v>
        <stp/>
        <stp>BDH|10770266952481857382</stp>
        <tr r="AA10" s="3"/>
      </tp>
    </main>
    <main first="bofaddin.rtdserver">
      <tp t="e">
        <v>#N/A</v>
        <stp/>
        <stp>BDH|10354536177885287278</stp>
        <tr r="P249" s="5"/>
        <tr r="P243" s="5"/>
      </tp>
    </main>
    <main first="bofaddin.rtdserver">
      <tp t="e">
        <v>#N/A</v>
        <stp/>
        <stp>BDH|13635962524138021533</stp>
        <tr r="P193" s="5"/>
        <tr r="O202" s="5"/>
        <tr r="O194" s="5"/>
      </tp>
    </main>
    <main first="bofaddin.rtdserver">
      <tp t="e">
        <v>#N/A</v>
        <stp/>
        <stp>BDH|10634304443405896746</stp>
        <tr r="Z14" s="3"/>
      </tp>
    </main>
    <main first="bofaddin.rtdserver">
      <tp t="e">
        <v>#N/A</v>
        <stp/>
        <stp>BDH|12822339983709455544</stp>
        <tr r="U130" s="5"/>
        <tr r="T139" s="5"/>
        <tr r="T131" s="5"/>
        <tr r="T130" s="5"/>
      </tp>
    </main>
    <main first="bofaddin.rtdserver">
      <tp t="e">
        <v>#N/A</v>
        <stp/>
        <stp>BDH|13653979527728250593</stp>
        <tr r="P335" s="5"/>
        <tr r="O336" s="5"/>
      </tp>
      <tp t="e">
        <v>#N/A</v>
        <stp/>
        <stp>BDH|10463874446048821100</stp>
        <tr r="T342" s="5"/>
        <tr r="T334" s="5"/>
        <tr r="Z13" s="3"/>
      </tp>
    </main>
    <main first="bloomberg.rtd">
      <tp>
        <v>290.14796052099115</v>
        <stp/>
        <stp>##V3_BDPV12</stp>
        <stp>PTEDPKOM0034 Corp</stp>
        <stp>yas_ispread</stp>
        <stp>[hybrids_02.xlsx]issuerTable!R470C10</stp>
        <tr r="J470" s="5"/>
      </tp>
      <tp>
        <v>290.14796052099115</v>
        <stp/>
        <stp>##V3_BDPV12</stp>
        <stp>PTEDPKOM0034 Corp</stp>
        <stp>yas_ispread</stp>
        <stp>[hybrids_02.xlsx]issuerTable!R469C11</stp>
        <tr r="K469" s="5"/>
      </tp>
    </main>
    <main first="bofaddin.rtdserver">
      <tp t="e">
        <v>#N/A</v>
        <stp/>
        <stp>BDH|17349532213755687394</stp>
        <tr r="U456" s="5"/>
        <tr r="U454" s="5"/>
        <tr r="AA33" s="3"/>
      </tp>
      <tp t="e">
        <v>#N/A</v>
        <stp/>
        <stp>BDH|15487488810422251723</stp>
        <tr r="U24" s="3"/>
      </tp>
    </main>
    <main first="bofaddin.rtdserver">
      <tp t="e">
        <v>#N/A</v>
        <stp/>
        <stp>BDH|11366887763352270843</stp>
        <tr r="V10" s="3"/>
      </tp>
    </main>
    <main first="bloomberg.rtd">
      <tp t="s">
        <v>EUR</v>
        <stp/>
        <stp>##V3_BDPV12</stp>
        <stp>XS1795406575 Corp</stp>
        <stp>crncy</stp>
        <stp>[hybrids_02.xlsx]issuerTable!R54C5</stp>
        <tr r="E54" s="5"/>
      </tp>
    </main>
    <main first="bloomberg.rtd">
      <tp t="s">
        <v>EUR</v>
        <stp/>
        <stp>##V3_BDPV12</stp>
        <stp>EK811579 Corp</stp>
        <stp>crncy</stp>
        <stp>[hybrids_02.xlsx]sectorTable!R30C18</stp>
        <tr r="R30" s="3"/>
      </tp>
      <tp t="s">
        <v>EUR</v>
        <stp/>
        <stp>##V3_BDPV12</stp>
        <stp>EK821917 Corp</stp>
        <stp>crncy</stp>
        <stp>[hybrids_02.xlsx]sectorTable!R18C17</stp>
        <tr r="Q18" s="3"/>
      </tp>
      <tp t="s">
        <v>#N/A N/A</v>
        <stp/>
        <stp>##V3_BDPV12</stp>
        <stp>ZR457518 Corp</stp>
        <stp>bb_composite</stp>
        <stp>[hybrids_02.xlsx]sectorTable!R26C15</stp>
        <tr r="O26" s="3"/>
      </tp>
      <tp t="s">
        <v>EUR</v>
        <stp/>
        <stp>##V3_BDPV12</stp>
        <stp>XS1050461034 Corp</stp>
        <stp>crncy</stp>
        <stp>[hybrids_02.xlsx]issuerTable!R55C5</stp>
        <tr r="E55" s="5"/>
      </tp>
      <tp t="s">
        <v>ENBW 1 1/8 11/05/79</v>
        <stp/>
        <stp>##V3_BDPV12</stp>
        <stp>XS2035564975 Corp</stp>
        <stp>security_name</stp>
        <stp>[hybrids_02.xlsx]sectorTable!R24C5</stp>
        <tr r="E24" s="3"/>
      </tp>
      <tp>
        <v>45.975523198618411</v>
        <stp/>
        <stp>##V3_BDPV12</stp>
        <stp>XS1219498141 Corp</stp>
        <stp>interval_std_dev</stp>
        <stp>[hybrids_02.xlsx]sectorTable!R38C33</stp>
        <stp>calc_interval=30d</stp>
        <stp>market_data_override=sp210</stp>
        <tr r="AG38" s="3"/>
      </tp>
      <tp t="s">
        <v>EUR</v>
        <stp/>
        <stp>##V3_BDPV12</stp>
        <stp>AU654481 Corp</stp>
        <stp>crncy</stp>
        <stp>[hybrids_02.xlsx]sectorTable!R35C17</stp>
        <tr r="Q35" s="3"/>
      </tp>
      <tp t="s">
        <v>BB+</v>
        <stp/>
        <stp>##V3_BDPV12</stp>
        <stp>EK848378 Corp</stp>
        <stp>bb_composite</stp>
        <stp>[hybrids_02.xlsx]sectorTable!R31C15</stp>
        <tr r="O31" s="3"/>
      </tp>
      <tp t="s">
        <v>30/01/2025</v>
        <stp/>
        <stp>##V3_BDPV12</stp>
        <stp>FR0013457157 Corp</stp>
        <stp>nxt_call_dt</stp>
        <stp>[hybrids_02.xlsx]sectorTable!R7C8</stp>
        <tr r="H7" s="3"/>
      </tp>
      <tp t="s">
        <v>EUR</v>
        <stp/>
        <stp>##V3_BDPV12</stp>
        <stp>XS1206541366 Corp</stp>
        <stp>crncy</stp>
        <stp>[hybrids_02.xlsx]issuerTable!R14C5</stp>
        <tr r="E14" s="5"/>
      </tp>
      <tp t="s">
        <v>EUR</v>
        <stp/>
        <stp>##V3_BDPV12</stp>
        <stp>XS1974787480 Corp</stp>
        <stp>crncy</stp>
        <stp>[hybrids_02.xlsx]issuerTable!R95C5</stp>
        <tr r="E95" s="5"/>
      </tp>
      <tp t="s">
        <v>AKEFP 2 3/4 PERP</v>
        <stp/>
        <stp>##V3_BDPV12</stp>
        <stp>FR0013425170 Corp</stp>
        <stp>security_name</stp>
        <stp>[hybrids_02.xlsx]sectorTable!R36C5</stp>
        <tr r="E36" s="3"/>
      </tp>
      <tp t="s">
        <v>MRKGR 2 7/8 06/25/79</v>
        <stp/>
        <stp>##V3_BDPV12</stp>
        <stp>XS2011260705 Corp</stp>
        <stp>security_name</stp>
        <stp>[hybrids_02.xlsx]sectorTable!R17C6</stp>
        <tr r="F17" s="3"/>
      </tp>
      <tp t="s">
        <v>ENELIM 2 1/2 11/24/78</v>
        <stp/>
        <stp>##V3_BDPV12</stp>
        <stp>XS1713463716 Corp</stp>
        <stp>security_name</stp>
        <stp>[hybrids_02.xlsx]sectorTable!R13C5</stp>
        <tr r="E13" s="3"/>
      </tp>
      <tp t="s">
        <v>EUR</v>
        <stp/>
        <stp>##V3_BDPV12</stp>
        <stp>EJ723329 Corp</stp>
        <stp>crncy</stp>
        <stp>[hybrids_02.xlsx]sectorTable!R22C17</stp>
        <tr r="Q22" s="3"/>
      </tp>
      <tp t="s">
        <v>EUR</v>
        <stp/>
        <stp>##V3_BDPV12</stp>
        <stp>BJ924355 Corp</stp>
        <stp>crncy</stp>
        <stp>[hybrids_02.xlsx]sectorTable!R12C18</stp>
        <tr r="R12" s="3"/>
      </tp>
      <tp t="s">
        <v>NR</v>
        <stp/>
        <stp>##V3_BDPV12</stp>
        <stp>UV391246 Corp</stp>
        <stp>bb_composite</stp>
        <stp>[hybrids_02.xlsx]sectorTable!R12C15</stp>
        <tr r="O12" s="3"/>
      </tp>
      <tp t="s">
        <v>EUR</v>
        <stp/>
        <stp>##V3_BDPV12</stp>
        <stp>XS1195202822 Corp</stp>
        <stp>crncy</stp>
        <stp>[hybrids_02.xlsx]issuerTable!R96C5</stp>
        <tr r="E96" s="5"/>
      </tp>
      <tp t="s">
        <v>EDF 4 PERP</v>
        <stp/>
        <stp>##V3_BDPV12</stp>
        <stp>FR0013367612 Corp</stp>
        <stp>security_name</stp>
        <stp>[hybrids_02.xlsx]sectorTable!R11C5</stp>
        <tr r="E11" s="3"/>
      </tp>
      <tp t="s">
        <v>24/03/2021</v>
        <stp/>
        <stp>##V3_BDPV12</stp>
        <stp>XS1048428012 Corp</stp>
        <stp>nxt_call_dt</stp>
        <stp>[hybrids_02.xlsx]issuerTable!R4C7</stp>
        <tr r="G4" s="5"/>
      </tp>
      <tp t="s">
        <v>24/03/2026</v>
        <stp/>
        <stp>##V3_BDPV12</stp>
        <stp>XS1048428442 Corp</stp>
        <stp>nxt_call_dt</stp>
        <stp>[hybrids_02.xlsx]issuerTable!R4C7</stp>
        <tr r="G4" s="5"/>
      </tp>
    </main>
    <main first="bloomberg.rtd">
      <tp t="s">
        <v>EUR</v>
        <stp/>
        <stp>##V3_BDPV12</stp>
        <stp>EK872764 Corp</stp>
        <stp>crncy</stp>
        <stp>[hybrids_02.xlsx]sectorTable!R10C18</stp>
        <tr r="R10" s="3"/>
      </tp>
      <tp t="s">
        <v>EUR</v>
        <stp/>
        <stp>##V3_BDPV12</stp>
        <stp>EK352403 Corp</stp>
        <stp>crncy</stp>
        <stp>[hybrids_02.xlsx]sectorTable!R14C17</stp>
        <tr r="Q14" s="3"/>
      </tp>
      <tp t="s">
        <v>EUR</v>
        <stp/>
        <stp>##V3_BDPV12</stp>
        <stp>AR936992 Corp</stp>
        <stp>crncy</stp>
        <stp>[hybrids_02.xlsx]sectorTable!R16C17</stp>
        <tr r="Q16" s="3"/>
      </tp>
      <tp>
        <v>17.064115806239961</v>
        <stp/>
        <stp>##V3_BDPV12</stp>
        <stp>XS1028599287 Corp</stp>
        <stp>interval_std_dev</stp>
        <stp>[hybrids_02.xlsx]sectorTable!R15C33</stp>
        <stp>calc_interval=30d</stp>
        <stp>market_data_override=sp210</stp>
        <tr r="AG15" s="3"/>
      </tp>
      <tp t="s">
        <v>EUR</v>
        <stp/>
        <stp>##V3_BDPV12</stp>
        <stp>AS146490 Corp</stp>
        <stp>crncy</stp>
        <stp>[hybrids_02.xlsx]sectorTable!R39C18</stp>
        <tr r="R39" s="3"/>
      </tp>
      <tp t="s">
        <v>EUR</v>
        <stp/>
        <stp>##V3_BDPV12</stp>
        <stp>AS146424 Corp</stp>
        <stp>crncy</stp>
        <stp>[hybrids_02.xlsx]sectorTable!R39C17</stp>
        <tr r="Q39" s="3"/>
      </tp>
      <tp t="s">
        <v>EUR</v>
        <stp/>
        <stp>##V3_BDPV12</stp>
        <stp>XS1490960942 Corp</stp>
        <stp>crncy</stp>
        <stp>[hybrids_02.xlsx]issuerTable!R52C5</stp>
        <tr r="E52" s="5"/>
      </tp>
      <tp t="s">
        <v>EUR</v>
        <stp/>
        <stp>##V3_BDPV12</stp>
        <stp>XS1195201931 Corp</stp>
        <stp>crncy</stp>
        <stp>[hybrids_02.xlsx]issuerTable!R92C5</stp>
        <tr r="E92" s="5"/>
      </tp>
      <tp t="s">
        <v>TOTAL 3.369 PERP</v>
        <stp/>
        <stp>##V3_BDPV12</stp>
        <stp>XS1501166869 Corp</stp>
        <stp>security_name</stp>
        <stp>[hybrids_02.xlsx]sectorTable!R28C6</stp>
        <tr r="F28" s="3"/>
      </tp>
      <tp t="s">
        <v>RWE 2 3/4 04/21/75</v>
        <stp/>
        <stp>##V3_BDPV12</stp>
        <stp>XS1219498141 Corp</stp>
        <stp>security_name</stp>
        <stp>[hybrids_02.xlsx]sectorTable!R38C5</stp>
        <tr r="E38" s="3"/>
      </tp>
      <tp t="s">
        <v>EUR</v>
        <stp/>
        <stp>##V3_BDPV12</stp>
        <stp>BK122273 Corp</stp>
        <stp>crncy</stp>
        <stp>[hybrids_02.xlsx]sectorTable!R20C17</stp>
        <tr r="Q20" s="3"/>
      </tp>
      <tp t="s">
        <v>EUR</v>
        <stp/>
        <stp>##V3_BDPV12</stp>
        <stp>AQ711148 Corp</stp>
        <stp>crncy</stp>
        <stp>[hybrids_02.xlsx]sectorTable!R37C17</stp>
        <tr r="Q37" s="3"/>
      </tp>
      <tp t="s">
        <v>EUR</v>
        <stp/>
        <stp>##V3_BDPV12</stp>
        <stp>AZ371883 Corp</stp>
        <stp>crncy</stp>
        <stp>[hybrids_02.xlsx]sectorTable!R37C18</stp>
        <tr r="R37" s="3"/>
      </tp>
      <tp t="s">
        <v>BBB+</v>
        <stp/>
        <stp>##V3_BDPV12</stp>
        <stp>ZQ099270 Corp</stp>
        <stp>bb_composite</stp>
        <stp>[hybrids_02.xlsx]sectorTable!R29C15</stp>
        <tr r="O29" s="3"/>
      </tp>
      <tp t="s">
        <v>BB+</v>
        <stp/>
        <stp>##V3_BDPV12</stp>
        <stp>ZQ804479 Corp</stp>
        <stp>bb_composite</stp>
        <stp>[hybrids_02.xlsx]sectorTable!R22C16</stp>
        <tr r="P22" s="3"/>
      </tp>
      <tp t="s">
        <v>BBB</v>
        <stp/>
        <stp>##V3_BDPV12</stp>
        <stp>AQ711148 Corp</stp>
        <stp>bb_composite</stp>
        <stp>[hybrids_02.xlsx]sectorTable!R37C15</stp>
        <tr r="O37" s="3"/>
      </tp>
      <tp t="s">
        <v>AKEFP 1 1/2 PERP</v>
        <stp/>
        <stp>##V3_BDPV12</stp>
        <stp>FR0013478252 Corp</stp>
        <stp>security_name</stp>
        <stp>[hybrids_02.xlsx]sectorTable!R36C6</stp>
        <tr r="F36" s="3"/>
      </tp>
      <tp t="s">
        <v>EUR</v>
        <stp/>
        <stp>##V3_BDPV12</stp>
        <stp>XS1501167164 Corp</stp>
        <stp>crncy</stp>
        <stp>[hybrids_02.xlsx]issuerTable!R94C5</stp>
        <tr r="E94" s="5"/>
      </tp>
      <tp t="s">
        <v>EUR</v>
        <stp/>
        <stp>##V3_BDPV12</stp>
        <stp>XS1731823255 Corp</stp>
        <stp>crncy</stp>
        <stp>[hybrids_02.xlsx]issuerTable!R53C5</stp>
        <tr r="E53" s="5"/>
      </tp>
      <tp t="s">
        <v>14/12/2022</v>
        <stp/>
        <stp>##V3_BDPV12</stp>
        <stp>XS1629658755 Corp</stp>
        <stp>nxt_call_dt</stp>
        <stp>[hybrids_02.xlsx]issuerTable!R4C7</stp>
        <tr r="G4" s="5"/>
      </tp>
      <tp t="s">
        <v>OMVAV 6 1/4 PERP</v>
        <stp/>
        <stp>##V3_BDPV12</stp>
        <stp>XS1294343337 Corp</stp>
        <stp>security_name</stp>
        <stp>[hybrids_02.xlsx]sectorTable!R32C6</stp>
        <tr r="F32" s="3"/>
      </tp>
      <tp t="s">
        <v>EUR</v>
        <stp/>
        <stp>##V3_BDPV12</stp>
        <stp>BK123260 Corp</stp>
        <stp>crncy</stp>
        <stp>[hybrids_02.xlsx]sectorTable!R20C18</stp>
        <tr r="R20" s="3"/>
      </tp>
      <tp t="s">
        <v>EUR</v>
        <stp/>
        <stp>##V3_BDPV12</stp>
        <stp>AN880322 Corp</stp>
        <stp>crncy</stp>
        <stp>[hybrids_02.xlsx]sectorTable!R30C17</stp>
        <tr r="Q30" s="3"/>
      </tp>
      <tp t="s">
        <v>EUR</v>
        <stp/>
        <stp>##V3_BDPV12</stp>
        <stp>EK864970 Corp</stp>
        <stp>crncy</stp>
        <stp>[hybrids_02.xlsx]sectorTable!R31C18</stp>
        <tr r="R31" s="3"/>
      </tp>
      <tp t="s">
        <v>BB+</v>
        <stp/>
        <stp>##V3_BDPV12</stp>
        <stp>ZS108668 Corp</stp>
        <stp>bb_composite</stp>
        <stp>[hybrids_02.xlsx]sectorTable!R25C16</stp>
        <tr r="P25" s="3"/>
      </tp>
      <tp t="s">
        <v>BBB+</v>
        <stp/>
        <stp>##V3_BDPV12</stp>
        <stp>ZQ100348 Corp</stp>
        <stp>bb_composite</stp>
        <stp>[hybrids_02.xlsx]sectorTable!R29C16</stp>
        <tr r="P29" s="3"/>
      </tp>
      <tp t="s">
        <v>BBB-</v>
        <stp/>
        <stp>##V3_BDPV12</stp>
        <stp>EK811579 Corp</stp>
        <stp>bb_composite</stp>
        <stp>[hybrids_02.xlsx]sectorTable!R30C16</stp>
        <tr r="P30" s="3"/>
      </tp>
      <tp t="s">
        <v>#N/A N/A</v>
        <stp/>
        <stp>##V3_BDPV12</stp>
        <stp>AP809058 Corp</stp>
        <stp>bb_composite</stp>
        <stp>[hybrids_02.xlsx]sectorTable!R26C16</stp>
        <tr r="P26" s="3"/>
      </tp>
      <tp t="s">
        <v>EUR</v>
        <stp/>
        <stp>##V3_BDPV12</stp>
        <stp>XS1048428442 Corp</stp>
        <stp>crncy</stp>
        <stp>[hybrids_02.xlsx]issuerTable!R10C5</stp>
        <tr r="E10" s="5"/>
      </tp>
      <tp t="s">
        <v>EUR</v>
        <stp/>
        <stp>##V3_BDPV12</stp>
        <stp>XS1629774230 Corp</stp>
        <stp>crncy</stp>
        <stp>[hybrids_02.xlsx]issuerTable!R11C5</stp>
        <tr r="E11" s="5"/>
      </tp>
      <tp t="s">
        <v>EDF 5 PERP</v>
        <stp/>
        <stp>##V3_BDPV12</stp>
        <stp>FR0011697028 Corp</stp>
        <stp>security_name</stp>
        <stp>[hybrids_02.xlsx]sectorTable!R11C6</stp>
        <tr r="F11" s="3"/>
      </tp>
      <tp t="s">
        <v>MRKGR 1 5/8 06/25/79</v>
        <stp/>
        <stp>##V3_BDPV12</stp>
        <stp>XS2011260531 Corp</stp>
        <stp>security_name</stp>
        <stp>[hybrids_02.xlsx]sectorTable!R17C5</stp>
        <tr r="E17" s="3"/>
      </tp>
      <tp t="s">
        <v>OMVAV 2 7/8 PERP</v>
        <stp/>
        <stp>##V3_BDPV12</stp>
        <stp>XS1713462403 Corp</stp>
        <stp>security_name</stp>
        <stp>[hybrids_02.xlsx]sectorTable!R32C5</stp>
        <tr r="E32" s="3"/>
      </tp>
      <tp t="s">
        <v>NR</v>
        <stp/>
        <stp>##V3_BDPV12</stp>
        <stp>ZR796862 Corp</stp>
        <stp>bb_composite</stp>
        <stp>[hybrids_02.xlsx]sectorTable!R27C16</stp>
        <tr r="P27" s="3"/>
      </tp>
      <tp t="s">
        <v>NR</v>
        <stp/>
        <stp>##V3_BDPV12</stp>
        <stp>ZR796682 Corp</stp>
        <stp>bb_composite</stp>
        <stp>[hybrids_02.xlsx]sectorTable!R27C15</stp>
        <tr r="O27" s="3"/>
      </tp>
      <tp t="s">
        <v>BB+</v>
        <stp/>
        <stp>##V3_BDPV12</stp>
        <stp>EJ723329 Corp</stp>
        <stp>bb_composite</stp>
        <stp>[hybrids_02.xlsx]sectorTable!R22C15</stp>
        <tr r="O22" s="3"/>
      </tp>
      <tp t="s">
        <v>EUR</v>
        <stp/>
        <stp>##V3_BDPV12</stp>
        <stp>XS2109819859 Corp</stp>
        <stp>crncy</stp>
        <stp>[hybrids_02.xlsx]issuerTable!R58C5</stp>
        <tr r="E58" s="5"/>
      </tp>
      <tp t="s">
        <v>EUR</v>
        <stp/>
        <stp>##V3_BDPV12</stp>
        <stp>XS1799939027 Corp</stp>
        <stp>crncy</stp>
        <stp>[hybrids_02.xlsx]issuerTable!R12C5</stp>
        <tr r="E12" s="5"/>
      </tp>
      <tp t="s">
        <v>IBESM 1 7/8 PERP</v>
        <stp/>
        <stp>##V3_BDPV12</stp>
        <stp>XS1721244371 Corp</stp>
        <stp>security_name</stp>
        <stp>[hybrids_02.xlsx]sectorTable!R33C5</stp>
        <tr r="E33" s="3"/>
      </tp>
      <tp t="s">
        <v>BAYNGR 3 1/8 11/12/79</v>
        <stp/>
        <stp>##V3_BDPV12</stp>
        <stp>XS2077670342 Corp</stp>
        <stp>security_name</stp>
        <stp>[hybrids_02.xlsx]sectorTable!R14C6</stp>
        <tr r="F14" s="3"/>
      </tp>
      <tp t="s">
        <v>RWE 3 1/2 04/21/75</v>
        <stp/>
        <stp>##V3_BDPV12</stp>
        <stp>XS1219499032 Corp</stp>
        <stp>security_name</stp>
        <stp>[hybrids_02.xlsx]sectorTable!R38C6</stp>
        <tr r="F38" s="3"/>
      </tp>
      <tp t="s">
        <v>EUR</v>
        <stp/>
        <stp>##V3_BDPV12</stp>
        <stp>AU692498 Corp</stp>
        <stp>crncy</stp>
        <stp>[hybrids_02.xlsx]sectorTable!R35C18</stp>
        <tr r="R35" s="3"/>
      </tp>
      <tp t="s">
        <v>EUR</v>
        <stp/>
        <stp>##V3_BDPV12</stp>
        <stp>AS322477 Corp</stp>
        <stp>crncy</stp>
        <stp>[hybrids_02.xlsx]sectorTable!R25C17</stp>
        <tr r="Q25" s="3"/>
      </tp>
      <tp t="s">
        <v>BBB-</v>
        <stp/>
        <stp>##V3_BDPV12</stp>
        <stp>AN880322 Corp</stp>
        <stp>bb_composite</stp>
        <stp>[hybrids_02.xlsx]sectorTable!R30C15</stp>
        <tr r="O30" s="3"/>
      </tp>
      <tp t="s">
        <v>BB+</v>
        <stp/>
        <stp>##V3_BDPV12</stp>
        <stp>EK588292 Corp</stp>
        <stp>bb_composite</stp>
        <stp>[hybrids_02.xlsx]sectorTable!R10C15</stp>
        <tr r="O10" s="3"/>
      </tp>
      <tp t="s">
        <v>EUR</v>
        <stp/>
        <stp>##V3_BDPV12</stp>
        <stp>XS1933828433 Corp</stp>
        <stp>crncy</stp>
        <stp>[hybrids_02.xlsx]issuerTable!R56C5</stp>
        <tr r="E56" s="5"/>
      </tp>
    </main>
    <main first="bloomberg.rtd">
      <tp t="s">
        <v>NR</v>
        <stp/>
        <stp>##V3_BDPV12</stp>
        <stp>EK821917 Corp</stp>
        <stp>bb_composite</stp>
        <stp>[hybrids_02.xlsx]sectorTable!R18C15</stp>
        <tr r="O18" s="3"/>
      </tp>
      <tp t="s">
        <v>BB+</v>
        <stp/>
        <stp>##V3_BDPV12</stp>
        <stp>AS322477 Corp</stp>
        <stp>bb_composite</stp>
        <stp>[hybrids_02.xlsx]sectorTable!R25C15</stp>
        <tr r="O25" s="3"/>
      </tp>
      <tp t="s">
        <v>BB</v>
        <stp/>
        <stp>##V3_BDPV12</stp>
        <stp>AR738776 Corp</stp>
        <stp>bb_composite</stp>
        <stp>[hybrids_02.xlsx]sectorTable!R34C15</stp>
        <tr r="O34" s="3"/>
      </tp>
      <tp t="s">
        <v>TOTAL 2.708 PERP</v>
        <stp/>
        <stp>##V3_BDPV12</stp>
        <stp>XS1501167164 Corp</stp>
        <stp>security_name</stp>
        <stp>[hybrids_02.xlsx]sectorTable!R28C5</stp>
        <tr r="E28" s="3"/>
      </tp>
      <tp t="s">
        <v>14/06/2027</v>
        <stp/>
        <stp>##V3_BDPV12</stp>
        <stp>XS1629774230 Corp</stp>
        <stp>nxt_call_dt</stp>
        <stp>[hybrids_02.xlsx]issuerTable!R4C7</stp>
        <tr r="G4" s="5"/>
      </tp>
      <tp t="s">
        <v>EUR</v>
        <stp/>
        <stp>##V3_BDPV12</stp>
        <stp>EK588292 Corp</stp>
        <stp>crncy</stp>
        <stp>[hybrids_02.xlsx]sectorTable!R10C17</stp>
        <tr r="Q10" s="3"/>
      </tp>
      <tp t="s">
        <v>EUR</v>
        <stp/>
        <stp>##V3_BDPV12</stp>
        <stp>EK848378 Corp</stp>
        <stp>crncy</stp>
        <stp>[hybrids_02.xlsx]sectorTable!R31C17</stp>
        <tr r="Q31" s="3"/>
      </tp>
      <tp>
        <v>13.331363389121456</v>
        <stp/>
        <stp>##V3_BDPV12</stp>
        <stp>XS2011260531 Corp</stp>
        <stp>interval_std_dev</stp>
        <stp>[hybrids_02.xlsx]sectorTable!R17C33</stp>
        <stp>calc_interval=30d</stp>
        <stp>market_data_override=sp210</stp>
        <tr r="AG17" s="3"/>
      </tp>
      <tp t="s">
        <v>BBB-</v>
        <stp/>
        <stp>##V3_BDPV12</stp>
        <stp>ZP870673 Corp</stp>
        <stp>bb_composite</stp>
        <stp>[hybrids_02.xlsx]sectorTable!R23C16</stp>
        <tr r="P23" s="3"/>
      </tp>
      <tp t="s">
        <v>BB+</v>
        <stp/>
        <stp>##V3_BDPV12</stp>
        <stp>AU654481 Corp</stp>
        <stp>bb_composite</stp>
        <stp>[hybrids_02.xlsx]sectorTable!R35C15</stp>
        <tr r="O35" s="3"/>
      </tp>
      <tp t="s">
        <v>BBB</v>
        <stp/>
        <stp>##V3_BDPV12</stp>
        <stp>AS146490 Corp</stp>
        <stp>bb_composite</stp>
        <stp>[hybrids_02.xlsx]sectorTable!R39C16</stp>
        <tr r="P39" s="3"/>
      </tp>
      <tp t="s">
        <v>BBB</v>
        <stp/>
        <stp>##V3_BDPV12</stp>
        <stp>AZ371883 Corp</stp>
        <stp>bb_composite</stp>
        <stp>[hybrids_02.xlsx]sectorTable!R37C16</stp>
        <tr r="P37" s="3"/>
      </tp>
      <tp t="s">
        <v>04/09/2023</v>
        <stp/>
        <stp>##V3_BDPV12</stp>
        <stp>XS0968913342 Corp</stp>
        <stp>nxt_call_dt</stp>
        <stp>[hybrids_02.xlsx]issuerTable!R4C7</stp>
        <tr r="G4" s="5"/>
      </tp>
    </main>
    <main first="bloomberg.rtd">
      <tp>
        <v>354.2453777629097</v>
        <stp/>
        <stp>##V3_BDPV12</stp>
        <stp>LW253022 Corp</stp>
        <stp>yas_ispread</stp>
        <stp>[hybrids_02.xlsx]sectorTable!R5C11</stp>
        <tr r="K5" s="3"/>
      </tp>
      <tp>
        <v>24.592157449473692</v>
        <stp/>
        <stp>##V3_BDPV12</stp>
        <stp>XS1713463716 Corp</stp>
        <stp>interval_std_dev</stp>
        <stp>[hybrids_02.xlsx]sectorTable!R13C33</stp>
        <stp>calc_interval=30d</stp>
        <stp>market_data_override=sp210</stp>
        <tr r="AG13" s="3"/>
      </tp>
      <tp t="s">
        <v>BB</v>
        <stp/>
        <stp>##V3_BDPV12</stp>
        <stp>ZP659512 Corp</stp>
        <stp>bb_composite</stp>
        <stp>[hybrids_02.xlsx]sectorTable!R21C16</stp>
        <tr r="P21" s="3"/>
      </tp>
      <tp t="s">
        <v>NR</v>
        <stp/>
        <stp>##V3_BDPV12</stp>
        <stp>BJ924355 Corp</stp>
        <stp>bb_composite</stp>
        <stp>[hybrids_02.xlsx]sectorTable!R12C16</stp>
        <tr r="P12" s="3"/>
      </tp>
      <tp t="s">
        <v>EUR</v>
        <stp/>
        <stp>##V3_BDPV12</stp>
        <stp>XS1501166869 Corp</stp>
        <stp>crncy</stp>
        <stp>[hybrids_02.xlsx]issuerTable!R97C5</stp>
        <tr r="E97" s="5"/>
      </tp>
      <tp t="s">
        <v>ORAFP 5 PERP</v>
        <stp/>
        <stp>##V3_BDPV12</stp>
        <stp>XS1115498260 Corp</stp>
        <stp>security_name</stp>
        <stp>[hybrids_02.xlsx]sectorTable!R15C6</stp>
        <tr r="F15" s="3"/>
      </tp>
      <tp>
        <v>18.023651010786381</v>
        <stp/>
        <stp>##V3_BDPV12</stp>
        <stp>XS1713462403 Corp</stp>
        <stp>interval_std_dev</stp>
        <stp>[hybrids_02.xlsx]sectorTable!R32C33</stp>
        <stp>calc_interval=30d</stp>
        <stp>market_data_override=sp210</stp>
        <tr r="AG32" s="3"/>
      </tp>
      <tp t="s">
        <v>BB+</v>
        <stp/>
        <stp>##V3_BDPV12</stp>
        <stp>EK352403 Corp</stp>
        <stp>bb_composite</stp>
        <stp>[hybrids_02.xlsx]sectorTable!R14C15</stp>
        <tr r="O14" s="3"/>
      </tp>
      <tp t="s">
        <v>BB+</v>
        <stp/>
        <stp>##V3_BDPV12</stp>
        <stp>EK864970 Corp</stp>
        <stp>bb_composite</stp>
        <stp>[hybrids_02.xlsx]sectorTable!R31C16</stp>
        <tr r="P31" s="3"/>
      </tp>
      <tp t="s">
        <v>30/01/2024</v>
        <stp/>
        <stp>##V3_BDPV12</stp>
        <stp>FR0013399177 Corp</stp>
        <stp>nxt_call_dt</stp>
        <stp>[hybrids_02.xlsx]sectorTable!R7C7</stp>
        <tr r="G7" s="3"/>
      </tp>
      <tp t="s">
        <v>EUR</v>
        <stp/>
        <stp>##V3_BDPV12</stp>
        <stp>XS2056371334 Corp</stp>
        <stp>crncy</stp>
        <stp>[hybrids_02.xlsx]issuerTable!R59C5</stp>
        <tr r="E59" s="5"/>
      </tp>
      <tp t="s">
        <v>EUR</v>
        <stp/>
        <stp>##V3_BDPV12</stp>
        <stp>XS2187689380 Corp</stp>
        <stp>crncy</stp>
        <stp>[hybrids_02.xlsx]issuerTable!R13C5</stp>
        <tr r="E13" s="5"/>
      </tp>
      <tp t="s">
        <v>EUR</v>
        <stp/>
        <stp>##V3_BDPV12</stp>
        <stp>XS1413581205 Corp</stp>
        <stp>crncy</stp>
        <stp>[hybrids_02.xlsx]issuerTable!R93C5</stp>
        <tr r="E93" s="5"/>
      </tp>
      <tp t="s">
        <v>IBESM 3 1/4 PERP</v>
        <stp/>
        <stp>##V3_BDPV12</stp>
        <stp>XS1890845875 Corp</stp>
        <stp>security_name</stp>
        <stp>[hybrids_02.xlsx]sectorTable!R33C6</stp>
        <tr r="F33" s="3"/>
      </tp>
      <tp t="s">
        <v>EUR</v>
        <stp/>
        <stp>##V3_BDPV12</stp>
        <stp>AP809058 Corp</stp>
        <stp>crncy</stp>
        <stp>[hybrids_02.xlsx]sectorTable!R26C18</stp>
        <tr r="R26" s="3"/>
      </tp>
      <tp t="s">
        <v>NR</v>
        <stp/>
        <stp>##V3_BDPV12</stp>
        <stp>ZP989429 Corp</stp>
        <stp>bb_composite</stp>
        <stp>[hybrids_02.xlsx]sectorTable!R16C16</stp>
        <tr r="P16" s="3"/>
      </tp>
      <tp t="s">
        <v>BB</v>
        <stp/>
        <stp>##V3_BDPV12</stp>
        <stp>ZS235422 Corp</stp>
        <stp>bb_composite</stp>
        <stp>[hybrids_02.xlsx]sectorTable!R21C15</stp>
        <tr r="O21" s="3"/>
      </tp>
      <tp t="s">
        <v>BBB-</v>
        <stp/>
        <stp>##V3_BDPV12</stp>
        <stp>ZR363807 Corp</stp>
        <stp>bb_composite</stp>
        <stp>[hybrids_02.xlsx]sectorTable!R19C16</stp>
        <tr r="P19" s="3"/>
      </tp>
      <tp t="s">
        <v>NR</v>
        <stp/>
        <stp>##V3_BDPV12</stp>
        <stp>AR936992 Corp</stp>
        <stp>bb_composite</stp>
        <stp>[hybrids_02.xlsx]sectorTable!R16C15</stp>
        <tr r="O16" s="3"/>
      </tp>
      <tp t="s">
        <v>BBB+</v>
        <stp/>
        <stp>##V3_BDPV12</stp>
        <stp>BK122273 Corp</stp>
        <stp>bb_composite</stp>
        <stp>[hybrids_02.xlsx]sectorTable!R20C15</stp>
        <tr r="O20" s="3"/>
      </tp>
      <tp t="s">
        <v>BB+</v>
        <stp/>
        <stp>##V3_BDPV12</stp>
        <stp>AU692498 Corp</stp>
        <stp>bb_composite</stp>
        <stp>[hybrids_02.xlsx]sectorTable!R35C16</stp>
        <tr r="P35" s="3"/>
      </tp>
      <tp t="s">
        <v>BBB-</v>
        <stp/>
        <stp>##V3_BDPV12</stp>
        <stp>AM938782 Corp</stp>
        <stp>bb_composite</stp>
        <stp>[hybrids_02.xlsx]sectorTable!R23C15</stp>
        <tr r="O23" s="3"/>
      </tp>
      <tp t="s">
        <v>ENBW 1 5/8 08/05/79</v>
        <stp/>
        <stp>##V3_BDPV12</stp>
        <stp>XS2035564629 Corp</stp>
        <stp>security_name</stp>
        <stp>[hybrids_02.xlsx]sectorTable!R24C6</stp>
        <tr r="F24" s="3"/>
      </tp>
      <tp t="s">
        <v>ENELIM 3 3/8 11/24/81</v>
        <stp/>
        <stp>##V3_BDPV12</stp>
        <stp>XS1713463559 Corp</stp>
        <stp>security_name</stp>
        <stp>[hybrids_02.xlsx]sectorTable!R13C6</stp>
        <tr r="F13" s="3"/>
      </tp>
      <tp t="s">
        <v>ORAFP 5 1/4 PERP</v>
        <stp/>
        <stp>##V3_BDPV12</stp>
        <stp>XS1028599287 Corp</stp>
        <stp>security_name</stp>
        <stp>[hybrids_02.xlsx]sectorTable!R15C5</stp>
        <tr r="E15" s="3"/>
      </tp>
      <tp t="s">
        <v>EUR</v>
        <stp/>
        <stp>##V3_BDPV12</stp>
        <stp>AM938782 Corp</stp>
        <stp>crncy</stp>
        <stp>[hybrids_02.xlsx]sectorTable!R23C17</stp>
        <tr r="Q23" s="3"/>
      </tp>
      <tp>
        <v>326.13138560134109</v>
        <stp/>
        <stp>##V3_BDPV12</stp>
        <stp>ZP454068 Corp</stp>
        <stp>yas_ispread</stp>
        <stp>[hybrids_02.xlsx]sectorTable!R9C12</stp>
        <tr r="L9" s="3"/>
      </tp>
      <tp t="s">
        <v>EUR</v>
        <stp/>
        <stp>##V3_BDPV12</stp>
        <stp>AR738776 Corp</stp>
        <stp>crncy</stp>
        <stp>[hybrids_02.xlsx]sectorTable!R34C17</stp>
        <tr r="Q34" s="3"/>
      </tp>
      <tp t="s">
        <v>BB</v>
        <stp/>
        <stp>##V3_BDPV12</stp>
        <stp>ZR655675 Corp</stp>
        <stp>bb_composite</stp>
        <stp>[hybrids_02.xlsx]sectorTable!R34C16</stp>
        <tr r="P34" s="3"/>
      </tp>
      <tp t="s">
        <v>BBB-</v>
        <stp/>
        <stp>##V3_BDPV12</stp>
        <stp>ZR363806 Corp</stp>
        <stp>bb_composite</stp>
        <stp>[hybrids_02.xlsx]sectorTable!R19C15</stp>
        <tr r="O19" s="3"/>
      </tp>
      <tp t="s">
        <v>NR</v>
        <stp/>
        <stp>##V3_BDPV12</stp>
        <stp>ZR441424 Corp</stp>
        <stp>bb_composite</stp>
        <stp>[hybrids_02.xlsx]sectorTable!R18C16</stp>
        <tr r="P18" s="3"/>
      </tp>
      <tp t="s">
        <v>BBB</v>
        <stp/>
        <stp>##V3_BDPV12</stp>
        <stp>AS146424 Corp</stp>
        <stp>bb_composite</stp>
        <stp>[hybrids_02.xlsx]sectorTable!R39C15</stp>
        <tr r="O39" s="3"/>
      </tp>
      <tp t="s">
        <v>EUR</v>
        <stp/>
        <stp>##V3_BDPV12</stp>
        <stp>XS1795406658 Corp</stp>
        <stp>crncy</stp>
        <stp>[hybrids_02.xlsx]issuerTable!R57C5</stp>
        <tr r="E57" s="5"/>
      </tp>
      <tp t="s">
        <v>27/06/2024</v>
        <stp/>
        <stp>##V3_BDPV12</stp>
        <stp>XS1799938995 Corp</stp>
        <stp>nxt_call_dt</stp>
        <stp>[hybrids_02.xlsx]issuerTable!R4C7</stp>
        <tr r="G4" s="5"/>
      </tp>
      <tp t="s">
        <v>17/06/2025</v>
        <stp/>
        <stp>##V3_BDPV12</stp>
        <stp>XS2187689034 Corp</stp>
        <stp>nxt_call_dt</stp>
        <stp>[hybrids_02.xlsx]issuerTable!R4C7</stp>
        <tr r="G4" s="5"/>
      </tp>
      <tp t="s">
        <v>20/03/2030</v>
        <stp/>
        <stp>##V3_BDPV12</stp>
        <stp>XS1206541366 Corp</stp>
        <stp>nxt_call_dt</stp>
        <stp>[hybrids_02.xlsx]issuerTable!R4C7</stp>
        <tr r="G4" s="5"/>
      </tp>
      <tp t="s">
        <v>17/06/2029</v>
        <stp/>
        <stp>##V3_BDPV12</stp>
        <stp>XS2187689380 Corp</stp>
        <stp>nxt_call_dt</stp>
        <stp>[hybrids_02.xlsx]issuerTable!R4C7</stp>
        <tr r="G4" s="5"/>
      </tp>
      <tp>
        <v>19.532159347619206</v>
        <stp/>
        <stp>##V3_BDPV12</stp>
        <stp>XS1721244371 Corp</stp>
        <stp>interval_std_dev</stp>
        <stp>[hybrids_02.xlsx]sectorTable!R33C33</stp>
        <stp>calc_interval=30d</stp>
        <stp>market_data_override=sp210</stp>
        <tr r="AG33" s="3"/>
      </tp>
      <tp t="s">
        <v>BB+</v>
        <stp/>
        <stp>##V3_BDPV12</stp>
        <stp>EK872764 Corp</stp>
        <stp>bb_composite</stp>
        <stp>[hybrids_02.xlsx]sectorTable!R10C16</stp>
        <tr r="P10" s="3"/>
      </tp>
      <tp t="s">
        <v>27/06/2028</v>
        <stp/>
        <stp>##V3_BDPV12</stp>
        <stp>XS1799939027 Corp</stp>
        <stp>nxt_call_dt</stp>
        <stp>[hybrids_02.xlsx]issuerTable!R4C7</stp>
        <tr r="G4" s="5"/>
      </tp>
      <tp t="s">
        <v>20/03/2022</v>
        <stp/>
        <stp>##V3_BDPV12</stp>
        <stp>XS1206540806 Corp</stp>
        <stp>nxt_call_dt</stp>
        <stp>[hybrids_02.xlsx]issuerTable!R4C7</stp>
        <tr r="G4" s="5"/>
      </tp>
      <tp>
        <v>290.14796052099115</v>
        <stp/>
        <stp>##V3_BDPV12</stp>
        <stp>AW875570 Corp</stp>
        <stp>yas_ispread</stp>
        <stp>[hybrids_02.xlsx]sectorTable!R9C11</stp>
        <tr r="K9" s="3"/>
      </tp>
      <tp>
        <v>14.501117764544297</v>
        <stp/>
        <stp>##V3_BDPV12</stp>
        <stp>XS2035564975 Corp</stp>
        <stp>interval_std_dev</stp>
        <stp>[hybrids_02.xlsx]sectorTable!R24C33</stp>
        <stp>calc_interval=30d</stp>
        <stp>market_data_override=sp210</stp>
        <tr r="AG24" s="3"/>
      </tp>
      <tp>
        <v>32.322333026955512</v>
        <stp/>
        <stp>##V3_BDPV12</stp>
        <stp>XS1501167164 Corp</stp>
        <stp>interval_std_dev</stp>
        <stp>[hybrids_02.xlsx]sectorTable!R28C33</stp>
        <stp>calc_interval=30d</stp>
        <stp>market_data_override=sp210</stp>
        <tr r="AG28" s="3"/>
      </tp>
      <tp t="s">
        <v>BBB+</v>
        <stp/>
        <stp>##V3_BDPV12</stp>
        <stp>BK123260 Corp</stp>
        <stp>bb_composite</stp>
        <stp>[hybrids_02.xlsx]sectorTable!R20C16</stp>
        <tr r="P20" s="3"/>
      </tp>
      <tp>
        <v>24.481325501498993</v>
        <stp/>
        <stp>##V3_BDPV12</stp>
        <stp>XS1799939027 Corp</stp>
        <stp>interval_std_dev</stp>
        <stp>[hybrids_02.xlsx]issuerTable!R4C16</stp>
        <stp>calc_interval=30d</stp>
        <stp>market_data_override=sp210</stp>
        <tr r="P4" s="5"/>
      </tp>
      <tp>
        <v>313.63070457120796</v>
        <stp/>
        <stp>##V3_BDPV12</stp>
        <stp>AU654481 Corp</stp>
        <stp>yas_ispread</stp>
        <stp>[hybrids_02.xlsx]sectorTable!R35C11</stp>
        <tr r="K35" s="3"/>
      </tp>
      <tp>
        <v>30.622221922493523</v>
        <stp/>
        <stp>##V3_BDPV12</stp>
        <stp>FR0013367612 Corp</stp>
        <stp>interval_std_dev</stp>
        <stp>[hybrids_02.xlsx]sectorTable!R11C33</stp>
        <stp>calc_interval=30d</stp>
        <stp>market_data_override=sp210</stp>
        <tr r="AG11" s="3"/>
      </tp>
      <tp t="s">
        <v>EUR</v>
        <stp/>
        <stp>##V3_BDPV12</stp>
        <stp>UV391246 Corp</stp>
        <stp>crncy</stp>
        <stp>[hybrids_02.xlsx]sectorTable!R12C17</stp>
        <tr r="Q12" s="3"/>
      </tp>
      <tp>
        <v>342.69128186440872</v>
        <stp/>
        <stp>##V3_BDPV12</stp>
        <stp>EK872764 Corp</stp>
        <stp>yas_ispread</stp>
        <stp>[hybrids_02.xlsx]sectorTable!R10C12</stp>
        <tr r="L10" s="3"/>
      </tp>
      <tp>
        <v>43.437911969255239</v>
        <stp/>
        <stp>##V3_BDPV12</stp>
        <stp>XS0992293901 Corp</stp>
        <stp>interval_std_dev</stp>
        <stp>[hybrids_02.xlsx]sectorTable!R4C33</stp>
        <stp>calc_interval=30d</stp>
        <stp>market_data_override=sp210</stp>
        <tr r="AG4" s="3"/>
      </tp>
      <tp>
        <v>389.0336994008839</v>
        <stp/>
        <stp>##V3_BDPV12</stp>
        <stp>BJ814648 Corp</stp>
        <stp>yas_ispread</stp>
        <stp>[hybrids_02.xlsx]sectorTable!R8C12</stp>
        <tr r="L8" s="3"/>
      </tp>
      <tp>
        <v>350.59474142635855</v>
        <stp/>
        <stp>##V3_BDPV12</stp>
        <stp>EK848378 Corp</stp>
        <stp>yas_ispread</stp>
        <stp>[hybrids_02.xlsx]sectorTable!R31C11</stp>
        <tr r="K31" s="3"/>
      </tp>
      <tp>
        <v>398.55349865938547</v>
        <stp/>
        <stp>##V3_BDPV12</stp>
        <stp>EK811579 Corp</stp>
        <stp>yas_ispread</stp>
        <stp>[hybrids_02.xlsx]sectorTable!R30C12</stp>
        <tr r="L30" s="3"/>
      </tp>
      <tp>
        <v>222.71464122437737</v>
        <stp/>
        <stp>##V3_BDPV12</stp>
        <stp>ZQ804479 Corp</stp>
        <stp>yas_ispread</stp>
        <stp>[hybrids_02.xlsx]sectorTable!R22C12</stp>
        <tr r="L22" s="3"/>
      </tp>
      <tp>
        <v>354.15760111662445</v>
        <stp/>
        <stp>##V3_BDPV12</stp>
        <stp>ZR796682 Corp</stp>
        <stp>yas_ispread</stp>
        <stp>[hybrids_02.xlsx]sectorTable!R27C11</stp>
        <tr r="K27" s="3"/>
      </tp>
      <tp>
        <v>266.8804363749901</v>
        <stp/>
        <stp>##V3_BDPV12</stp>
        <stp>ZP870673 Corp</stp>
        <stp>yas_ispread</stp>
        <stp>[hybrids_02.xlsx]sectorTable!R23C12</stp>
        <tr r="L23" s="3"/>
      </tp>
      <tp>
        <v>371.60924784107738</v>
        <stp/>
        <stp>##V3_BDPV12</stp>
        <stp>EK864970 Corp</stp>
        <stp>yas_ispread</stp>
        <stp>[hybrids_02.xlsx]sectorTable!R31C12</stp>
        <tr r="L31" s="3"/>
      </tp>
      <tp>
        <v>314.93560802623728</v>
        <stp/>
        <stp>##V3_BDPV12</stp>
        <stp>AU692498 Corp</stp>
        <stp>yas_ispread</stp>
        <stp>[hybrids_02.xlsx]sectorTable!R35C12</stp>
        <tr r="L35" s="3"/>
      </tp>
      <tp t="s">
        <v>18/02/2022</v>
        <stp/>
        <stp>##V3_BDPV12</stp>
        <stp>XS1191320297 Corp</stp>
        <stp>nxt_call_dt</stp>
        <stp>[hybrids_02.xlsx]sectorTable!R6C7</stp>
        <tr r="G6" s="3"/>
      </tp>
      <tp>
        <v>33.904321596933272</v>
        <stp/>
        <stp>##V3_BDPV12</stp>
        <stp>XS1799938995 Corp</stp>
        <stp>interval_std_dev</stp>
        <stp>[hybrids_02.xlsx]issuerTable!R4C16</stp>
        <stp>calc_interval=30d</stp>
        <stp>market_data_override=sp210</stp>
        <tr r="P4" s="5"/>
      </tp>
      <tp>
        <v>27.701966416304263</v>
        <stp/>
        <stp>##V3_BDPV12</stp>
        <stp>XS1629774230 Corp</stp>
        <stp>interval_std_dev</stp>
        <stp>[hybrids_02.xlsx]issuerTable!R4C16</stp>
        <stp>calc_interval=30d</stp>
        <stp>market_data_override=sp210</stp>
        <tr r="P4" s="5"/>
      </tp>
      <tp>
        <v>313.97883755071643</v>
        <stp/>
        <stp>##V3_BDPV12</stp>
        <stp>EK588292 Corp</stp>
        <stp>yas_ispread</stp>
        <stp>[hybrids_02.xlsx]sectorTable!R10C11</stp>
        <tr r="K10" s="3"/>
      </tp>
      <tp>
        <v>152.14336084663844</v>
        <stp/>
        <stp>##V3_BDPV12</stp>
        <stp>BJ924355 Corp</stp>
        <stp>yas_ispread</stp>
        <stp>[hybrids_02.xlsx]sectorTable!R12C12</stp>
        <tr r="L12" s="3"/>
      </tp>
      <tp>
        <v>26.169587287404891</v>
        <stp/>
        <stp>##V3_BDPV12</stp>
        <stp>FR0013425170 Corp</stp>
        <stp>interval_std_dev</stp>
        <stp>[hybrids_02.xlsx]sectorTable!R36C33</stp>
        <stp>calc_interval=30d</stp>
        <stp>market_data_override=sp210</stp>
        <tr r="AG36" s="3"/>
      </tp>
      <tp t="s">
        <v>12/11/2023</v>
        <stp/>
        <stp>##V3_BDPV12</stp>
        <stp>XS0992293901 Corp</stp>
        <stp>nxt_call_dt</stp>
        <stp>[hybrids_02.xlsx]sectorTable!R4C7</stp>
        <tr r="G4" s="3"/>
      </tp>
      <tp>
        <v>97.490214868902257</v>
        <stp/>
        <stp>##V3_BDPV12</stp>
        <stp>XS1048428012 Corp</stp>
        <stp>interval_std_dev</stp>
        <stp>[hybrids_02.xlsx]issuerTable!R4C16</stp>
        <stp>calc_interval=30d</stp>
        <stp>market_data_override=sp210</stp>
        <tr r="P4" s="5"/>
      </tp>
      <tp>
        <v>28.484152826334682</v>
        <stp/>
        <stp>##V3_BDPV12</stp>
        <stp>XS1048428442 Corp</stp>
        <stp>interval_std_dev</stp>
        <stp>[hybrids_02.xlsx]issuerTable!R4C16</stp>
        <stp>calc_interval=30d</stp>
        <stp>market_data_override=sp210</stp>
        <tr r="P4" s="5"/>
      </tp>
      <tp>
        <v>52.108158656693426</v>
        <stp/>
        <stp>##V3_BDPV12</stp>
        <stp>XS1206540806 Corp</stp>
        <stp>interval_std_dev</stp>
        <stp>[hybrids_02.xlsx]issuerTable!R4C16</stp>
        <stp>calc_interval=30d</stp>
        <stp>market_data_override=sp210</stp>
        <tr r="P4" s="5"/>
      </tp>
      <tp>
        <v>20.571589160686134</v>
        <stp/>
        <stp>##V3_BDPV12</stp>
        <stp>XS1206541366 Corp</stp>
        <stp>interval_std_dev</stp>
        <stp>[hybrids_02.xlsx]issuerTable!R4C16</stp>
        <stp>calc_interval=30d</stp>
        <stp>market_data_override=sp210</stp>
        <tr r="P4" s="5"/>
      </tp>
      <tp>
        <v>433.89597312919426</v>
        <stp/>
        <stp>##V3_BDPV12</stp>
        <stp>AP809058 Corp</stp>
        <stp>yas_ispread</stp>
        <stp>[hybrids_02.xlsx]sectorTable!R26C12</stp>
        <tr r="L26" s="3"/>
      </tp>
      <tp>
        <v>30.602290252714678</v>
        <stp/>
        <stp>##V3_BDPV12</stp>
        <stp>XS1191320297 Corp</stp>
        <stp>interval_std_dev</stp>
        <stp>[hybrids_02.xlsx]sectorTable!R6C33</stp>
        <stp>calc_interval=30d</stp>
        <stp>market_data_override=sp210</stp>
        <tr r="AG6" s="3"/>
      </tp>
      <tp>
        <v>24.652441758728234</v>
        <stp/>
        <stp>##V3_BDPV12</stp>
        <stp>XS1207058733 Corp</stp>
        <stp>interval_std_dev</stp>
        <stp>[hybrids_02.xlsx]sectorTable!R8C33</stp>
        <stp>calc_interval=30d</stp>
        <stp>market_data_override=sp210</stp>
        <tr r="AG8" s="3"/>
      </tp>
      <tp>
        <v>381.39226707444124</v>
        <stp/>
        <stp>##V3_BDPV12</stp>
        <stp>AN880322 Corp</stp>
        <stp>yas_ispread</stp>
        <stp>[hybrids_02.xlsx]sectorTable!R30C11</stp>
        <tr r="K30" s="3"/>
      </tp>
      <tp>
        <v>46.033742915446474</v>
        <stp/>
        <stp>##V3_BDPV12</stp>
        <stp>XS1629658755 Corp</stp>
        <stp>interval_std_dev</stp>
        <stp>[hybrids_02.xlsx]issuerTable!R4C16</stp>
        <stp>calc_interval=30d</stp>
        <stp>market_data_override=sp210</stp>
        <tr r="P4" s="5"/>
      </tp>
      <tp>
        <v>248.53902978143071</v>
        <stp/>
        <stp>##V3_BDPV12</stp>
        <stp>AZ371883 Corp</stp>
        <stp>yas_ispread</stp>
        <stp>[hybrids_02.xlsx]sectorTable!R37C12</stp>
        <tr r="L37" s="3"/>
      </tp>
      <tp>
        <v>427.00369466330238</v>
        <stp/>
        <stp>##V3_BDPV12</stp>
        <stp>ZP989429 Corp</stp>
        <stp>yas_ispread</stp>
        <stp>[hybrids_02.xlsx]sectorTable!R16C12</stp>
        <tr r="L16" s="3"/>
      </tp>
      <tp>
        <v>552.41533683757496</v>
        <stp/>
        <stp>##V3_BDPV12</stp>
        <stp>AS146490 Corp</stp>
        <stp>yas_ispread</stp>
        <stp>[hybrids_02.xlsx]sectorTable!R39C12</stp>
        <tr r="L39" s="3"/>
      </tp>
      <tp t="s">
        <v>EUR</v>
        <stp/>
        <stp>##V3_BDPV12</stp>
        <stp>ZS108668 Corp</stp>
        <stp>crncy</stp>
        <stp>[hybrids_02.xlsx]sectorTable!R25C18</stp>
        <tr r="R25" s="3"/>
      </tp>
      <tp>
        <v>252.07128190560547</v>
        <stp/>
        <stp>##V3_BDPV12</stp>
        <stp>EK821917 Corp</stp>
        <stp>yas_ispread</stp>
        <stp>[hybrids_02.xlsx]sectorTable!R18C11</stp>
        <tr r="K18" s="3"/>
      </tp>
      <tp t="s">
        <v>EUR</v>
        <stp/>
        <stp>##V3_BDPV12</stp>
        <stp>ZQ099270 Corp</stp>
        <stp>crncy</stp>
        <stp>[hybrids_02.xlsx]sectorTable!R29C17</stp>
        <tr r="Q29" s="3"/>
      </tp>
      <tp t="s">
        <v>EUR</v>
        <stp/>
        <stp>##V3_BDPV12</stp>
        <stp>ZP659512 Corp</stp>
        <stp>crncy</stp>
        <stp>[hybrids_02.xlsx]sectorTable!R21C18</stp>
        <tr r="R21" s="3"/>
      </tp>
      <tp t="s">
        <v>EUR</v>
        <stp/>
        <stp>##V3_BDPV12</stp>
        <stp>ZP989429 Corp</stp>
        <stp>crncy</stp>
        <stp>[hybrids_02.xlsx]sectorTable!R16C18</stp>
        <tr r="R16" s="3"/>
      </tp>
      <tp>
        <v>463.41367448755318</v>
        <stp/>
        <stp>##V3_BDPV12</stp>
        <stp>AL211915 Corp</stp>
        <stp>yas_ispread</stp>
        <stp>[hybrids_02.xlsx]sectorTable!R5C12</stp>
        <tr r="L5" s="3"/>
      </tp>
      <tp t="s">
        <v>EUR</v>
        <stp/>
        <stp>##V3_BDPV12</stp>
        <stp>ZR796862 Corp</stp>
        <stp>crncy</stp>
        <stp>[hybrids_02.xlsx]sectorTable!R27C18</stp>
        <tr r="R27" s="3"/>
      </tp>
      <tp>
        <v>290.73825098184477</v>
        <stp/>
        <stp>##V3_BDPV12</stp>
        <stp>ZR441424 Corp</stp>
        <stp>yas_ispread</stp>
        <stp>[hybrids_02.xlsx]sectorTable!R18C12</stp>
        <tr r="L18" s="3"/>
      </tp>
      <tp>
        <v>324.25656355893534</v>
        <stp/>
        <stp>##V3_BDPV12</stp>
        <stp>BK122273 Corp</stp>
        <stp>yas_ispread</stp>
        <stp>[hybrids_02.xlsx]sectorTable!R20C11</stp>
        <tr r="K20" s="3"/>
      </tp>
      <tp t="s">
        <v>EUR</v>
        <stp/>
        <stp>##V3_BDPV12</stp>
        <stp>ZR796682 Corp</stp>
        <stp>crncy</stp>
        <stp>[hybrids_02.xlsx]sectorTable!R27C17</stp>
        <tr r="Q27" s="3"/>
      </tp>
      <tp>
        <v>31.833704268211712</v>
        <stp/>
        <stp>##V3_BDPV12</stp>
        <stp>XS0968913342 Corp</stp>
        <stp>interval_std_dev</stp>
        <stp>[hybrids_02.xlsx]issuerTable!R4C16</stp>
        <stp>calc_interval=30d</stp>
        <stp>market_data_override=sp210</stp>
        <tr r="P4" s="5"/>
      </tp>
      <tp>
        <v>47.013230793768372</v>
        <stp/>
        <stp>##V3_BDPV12</stp>
        <stp>UV391246 Corp</stp>
        <stp>yas_ispread</stp>
        <stp>[hybrids_02.xlsx]sectorTable!R12C11</stp>
        <tr r="K12" s="3"/>
      </tp>
      <tp>
        <v>554.18657942723155</v>
        <stp/>
        <stp>##V3_BDPV12</stp>
        <stp>ZS108668 Corp</stp>
        <stp>yas_ispread</stp>
        <stp>[hybrids_02.xlsx]sectorTable!R25C12</stp>
        <tr r="L25" s="3"/>
      </tp>
      <tp>
        <v>198.89351830612844</v>
        <stp/>
        <stp>##V3_BDPV12</stp>
        <stp>ZQ099270 Corp</stp>
        <stp>yas_ispread</stp>
        <stp>[hybrids_02.xlsx]sectorTable!R29C11</stp>
        <tr r="K29" s="3"/>
      </tp>
      <tp>
        <v>487.60404706393723</v>
        <stp/>
        <stp>##V3_BDPV12</stp>
        <stp>ZP659512 Corp</stp>
        <stp>yas_ispread</stp>
        <stp>[hybrids_02.xlsx]sectorTable!R21C12</stp>
        <tr r="L21" s="3"/>
      </tp>
      <tp>
        <v>359.9415989956496</v>
        <stp/>
        <stp>##V3_BDPV12</stp>
        <stp>BK123260 Corp</stp>
        <stp>yas_ispread</stp>
        <stp>[hybrids_02.xlsx]sectorTable!R20C12</stp>
        <tr r="L20" s="3"/>
      </tp>
      <tp t="s">
        <v>EUR</v>
        <stp/>
        <stp>##V3_BDPV12</stp>
        <stp>ZR457518 Corp</stp>
        <stp>crncy</stp>
        <stp>[hybrids_02.xlsx]sectorTable!R26C17</stp>
        <tr r="Q26" s="3"/>
      </tp>
      <tp>
        <v>12.162240135921074</v>
        <stp/>
        <stp>##V3_BDPV12</stp>
        <stp>XS2187689380 Corp</stp>
        <stp>interval_std_dev</stp>
        <stp>[hybrids_02.xlsx]issuerTable!R4C16</stp>
        <stp>calc_interval=30d</stp>
        <stp>market_data_override=sp210</stp>
        <tr r="P4" s="5"/>
      </tp>
      <tp>
        <v>540.83480941054268</v>
        <stp/>
        <stp>##V3_BDPV12</stp>
        <stp>AS322477 Corp</stp>
        <stp>yas_ispread</stp>
        <stp>[hybrids_02.xlsx]sectorTable!R25C11</stp>
        <tr r="K25" s="3"/>
      </tp>
      <tp t="s">
        <v>EUR</v>
        <stp/>
        <stp>##V3_BDPV12</stp>
        <stp>ZQ804479 Corp</stp>
        <stp>crncy</stp>
        <stp>[hybrids_02.xlsx]sectorTable!R22C18</stp>
        <tr r="R22" s="3"/>
      </tp>
      <tp t="s">
        <v>24/07/2023</v>
        <stp/>
        <stp>##V3_BDPV12</stp>
        <stp>XS1811181566 Corp</stp>
        <stp>nxt_call_dt</stp>
        <stp>[hybrids_02.xlsx]sectorTable!R6C8</stp>
        <tr r="H6" s="3"/>
      </tp>
      <tp>
        <v>423.71405062033693</v>
        <stp/>
        <stp>##V3_BDPV12</stp>
        <stp>ZR457518 Corp</stp>
        <stp>yas_ispread</stp>
        <stp>[hybrids_02.xlsx]sectorTable!R26C11</stp>
        <tr r="K26" s="3"/>
      </tp>
      <tp>
        <v>207.22926965644865</v>
        <stp/>
        <stp>##V3_BDPV12</stp>
        <stp>ZQ100348 Corp</stp>
        <stp>yas_ispread</stp>
        <stp>[hybrids_02.xlsx]sectorTable!R29C12</stp>
        <tr r="L29" s="3"/>
      </tp>
      <tp>
        <v>183.46531881143321</v>
        <stp/>
        <stp>##V3_BDPV12</stp>
        <stp>EJ723329 Corp</stp>
        <stp>yas_ispread</stp>
        <stp>[hybrids_02.xlsx]sectorTable!R22C11</stp>
        <tr r="K22" s="3"/>
      </tp>
      <tp t="s">
        <v>EUR</v>
        <stp/>
        <stp>##V3_BDPV12</stp>
        <stp>ZR655675 Corp</stp>
        <stp>crncy</stp>
        <stp>[hybrids_02.xlsx]sectorTable!R34C18</stp>
        <tr r="R34" s="3"/>
      </tp>
      <tp t="s">
        <v>EUR</v>
        <stp/>
        <stp>##V3_BDPV12</stp>
        <stp>ZS235422 Corp</stp>
        <stp>crncy</stp>
        <stp>[hybrids_02.xlsx]sectorTable!R21C17</stp>
        <tr r="Q21" s="3"/>
      </tp>
      <tp t="s">
        <v>03/06/2024</v>
        <stp/>
        <stp>##V3_BDPV12</stp>
        <stp>XS1323897725 Corp</stp>
        <stp>nxt_call_dt</stp>
        <stp>[hybrids_02.xlsx]sectorTable!R4C8</stp>
        <tr r="H4" s="3"/>
      </tp>
      <tp t="s">
        <v>25/03/2025</v>
        <stp/>
        <stp>##V3_BDPV12</stp>
        <stp>XS1207058733 Corp</stp>
        <stp>nxt_call_dt</stp>
        <stp>[hybrids_02.xlsx]sectorTable!R8C7</stp>
        <tr r="G8" s="3"/>
      </tp>
      <tp t="s">
        <v>EUR</v>
        <stp/>
        <stp>##V3_BDPV12</stp>
        <stp>ZR363806 Corp</stp>
        <stp>crncy</stp>
        <stp>[hybrids_02.xlsx]sectorTable!R19C17</stp>
        <tr r="Q19" s="3"/>
      </tp>
      <tp t="s">
        <v>EUR</v>
        <stp/>
        <stp>##V3_BDPV12</stp>
        <stp>ZR363807 Corp</stp>
        <stp>crncy</stp>
        <stp>[hybrids_02.xlsx]sectorTable!R19C18</stp>
        <tr r="R19" s="3"/>
      </tp>
      <tp>
        <v>253.31853430339621</v>
        <stp/>
        <stp>##V3_BDPV12</stp>
        <stp>AQ711148 Corp</stp>
        <stp>yas_ispread</stp>
        <stp>[hybrids_02.xlsx]sectorTable!R37C11</stp>
        <tr r="K37" s="3"/>
      </tp>
      <tp>
        <v>297.92803836907791</v>
        <stp/>
        <stp>##V3_BDPV12</stp>
        <stp>EK352403 Corp</stp>
        <stp>yas_ispread</stp>
        <stp>[hybrids_02.xlsx]sectorTable!R14C11</stp>
        <tr r="K14" s="3"/>
      </tp>
      <tp>
        <v>697.96650056835654</v>
        <stp/>
        <stp>##V3_BDPV12</stp>
        <stp>AS146424 Corp</stp>
        <stp>yas_ispread</stp>
        <stp>[hybrids_02.xlsx]sectorTable!R39C11</stp>
        <tr r="K39" s="3"/>
      </tp>
      <tp>
        <v>233.49571086423566</v>
        <stp/>
        <stp>##V3_BDPV12</stp>
        <stp>ZR363806 Corp</stp>
        <stp>yas_ispread</stp>
        <stp>[hybrids_02.xlsx]sectorTable!R19C11</stp>
        <tr r="K19" s="3"/>
      </tp>
      <tp>
        <v>264.17517809241184</v>
        <stp/>
        <stp>##V3_BDPV12</stp>
        <stp>ZR363807 Corp</stp>
        <stp>yas_ispread</stp>
        <stp>[hybrids_02.xlsx]sectorTable!R19C12</stp>
        <tr r="L19" s="3"/>
      </tp>
      <tp>
        <v>61.740361892291595</v>
        <stp/>
        <stp>##V3_BDPV12</stp>
        <stp>FR0013399177 Corp</stp>
        <stp>interval_std_dev</stp>
        <stp>[hybrids_02.xlsx]sectorTable!R7C33</stp>
        <stp>calc_interval=30d</stp>
        <stp>market_data_override=sp210</stp>
        <tr r="AG7" s="3"/>
      </tp>
      <tp>
        <v>14.806044361614461</v>
        <stp/>
        <stp>##V3_BDPV12</stp>
        <stp>XS2187689034 Corp</stp>
        <stp>interval_std_dev</stp>
        <stp>[hybrids_02.xlsx]issuerTable!R4C16</stp>
        <stp>calc_interval=30d</stp>
        <stp>market_data_override=sp210</stp>
        <tr r="P4" s="5"/>
      </tp>
      <tp>
        <v>376.27144556373077</v>
        <stp/>
        <stp>##V3_BDPV12</stp>
        <stp>AR738776 Corp</stp>
        <stp>yas_ispread</stp>
        <stp>[hybrids_02.xlsx]sectorTable!R34C11</stp>
        <tr r="K34" s="3"/>
      </tp>
      <tp t="s">
        <v>EUR</v>
        <stp/>
        <stp>##V3_BDPV12</stp>
        <stp>ZQ100348 Corp</stp>
        <stp>crncy</stp>
        <stp>[hybrids_02.xlsx]sectorTable!R29C18</stp>
        <tr r="R29" s="3"/>
      </tp>
      <tp>
        <v>396.72454133060057</v>
        <stp/>
        <stp>##V3_BDPV12</stp>
        <stp>AR936992 Corp</stp>
        <stp>yas_ispread</stp>
        <stp>[hybrids_02.xlsx]sectorTable!R16C11</stp>
        <tr r="K16" s="3"/>
      </tp>
      <tp>
        <v>473.37623241017246</v>
        <stp/>
        <stp>##V3_BDPV12</stp>
        <stp>ZS235422 Corp</stp>
        <stp>yas_ispread</stp>
        <stp>[hybrids_02.xlsx]sectorTable!R21C11</stp>
        <tr r="K21" s="3"/>
      </tp>
      <tp t="s">
        <v>EUR</v>
        <stp/>
        <stp>##V3_BDPV12</stp>
        <stp>ZP870673 Corp</stp>
        <stp>crncy</stp>
        <stp>[hybrids_02.xlsx]sectorTable!R23C18</stp>
        <tr r="R23" s="3"/>
      </tp>
      <tp>
        <v>377.56035631161535</v>
        <stp/>
        <stp>##V3_BDPV12</stp>
        <stp>ZR796862 Corp</stp>
        <stp>yas_ispread</stp>
        <stp>[hybrids_02.xlsx]sectorTable!R27C12</stp>
        <tr r="L27" s="3"/>
      </tp>
      <tp>
        <v>382.25833678682505</v>
        <stp/>
        <stp>##V3_BDPV12</stp>
        <stp>ZR655675 Corp</stp>
        <stp>yas_ispread</stp>
        <stp>[hybrids_02.xlsx]sectorTable!R34C12</stp>
        <tr r="L34" s="3"/>
      </tp>
      <tp>
        <v>240.20340281253283</v>
        <stp/>
        <stp>##V3_BDPV12</stp>
        <stp>AM938782 Corp</stp>
        <stp>yas_ispread</stp>
        <stp>[hybrids_02.xlsx]sectorTable!R23C11</stp>
        <tr r="K23" s="3"/>
      </tp>
      <tp t="s">
        <v>EUR</v>
        <stp/>
        <stp>##V3_BDPV12</stp>
        <stp>ZR441424 Corp</stp>
        <stp>crncy</stp>
        <stp>[hybrids_02.xlsx]sectorTable!R18C18</stp>
        <tr r="R18" s="3"/>
      </tp>
    </main>
    <main first="bofaddin.rtdserver">
      <tp t="e">
        <v>#N/A</v>
        <stp/>
        <stp>BDH|8043101309062244725</stp>
        <tr r="P172" s="5"/>
        <tr r="P170" s="5"/>
        <tr r="P165" s="5"/>
      </tp>
      <tp t="e">
        <v>#N/A</v>
        <stp/>
        <stp>BDH|4881714283080290711</stp>
        <tr r="P132" s="5"/>
        <tr r="O141" s="5"/>
        <tr r="O133" s="5"/>
      </tp>
    </main>
    <main first="bofaddin.rtdserver">
      <tp t="e">
        <v>#N/A</v>
        <stp/>
        <stp>BDH|1266069738038760649</stp>
        <tr r="U164" s="5"/>
        <tr r="T165" s="5"/>
        <tr r="AA15" s="3"/>
      </tp>
    </main>
    <main first="bofaddin.rtdserver">
      <tp t="e">
        <v>#N/A</v>
        <stp/>
        <stp>BDH|9622839909374035903</stp>
        <tr r="P133" s="5"/>
        <tr r="O134" s="5"/>
      </tp>
    </main>
    <main first="bloomberg.rtd">
      <tp t="s">
        <v>24/06/2027</v>
        <stp/>
        <stp>##V3_BDPV12</stp>
        <stp>ZR655675 Corp</stp>
        <stp>nxt_call_dt</stp>
        <stp>[hybrids_02.xlsx]sectorTable!R34C8</stp>
        <tr r="H34" s="3"/>
      </tp>
    </main>
    <main first="bofaddin.rtdserver">
      <tp t="e">
        <v>#N/A</v>
        <stp/>
        <stp>BDH|7587139944949619759</stp>
        <tr r="U25" s="5"/>
        <tr r="T26" s="5"/>
      </tp>
    </main>
    <main first="bofaddin.rtdserver">
      <tp t="e">
        <v>#N/A</v>
        <stp/>
        <stp>BDH|6624579953579210367</stp>
        <tr r="U43" s="5"/>
        <tr r="U30" s="5"/>
      </tp>
    </main>
    <main first="bofaddin.rtdserver">
      <tp t="e">
        <v>#N/A</v>
        <stp/>
        <stp>BDH|5779260913572371863</stp>
        <tr r="V24" s="3"/>
      </tp>
      <tp t="e">
        <v>#N/A</v>
        <stp/>
        <stp>BDH|4027634434689936495</stp>
        <tr r="U380" s="5"/>
        <tr r="T381" s="5"/>
        <tr r="Z36" s="3"/>
      </tp>
      <tp t="e">
        <v>#N/A</v>
        <stp/>
        <stp>BDH|7334103755009385620</stp>
        <tr r="U35" s="3"/>
      </tp>
      <tp t="e">
        <v>#N/A</v>
        <stp/>
        <stp>BDH|8767248993596464936</stp>
        <tr r="V34" s="3"/>
      </tp>
    </main>
    <main first="bloomberg.rtd">
      <tp t="s">
        <v>16/07/2025</v>
        <stp/>
        <stp>##V3_BDPV12</stp>
        <stp>ZS108668 Corp</stp>
        <stp>nxt_call_dt</stp>
        <stp>[hybrids_02.xlsx]sectorTable!R25C8</stp>
        <tr r="H25" s="3"/>
      </tp>
    </main>
    <main first="bofaddin.rtdserver">
      <tp t="e">
        <v>#N/A</v>
        <stp/>
        <stp>BDH|5710921092848762157</stp>
        <tr r="P164" s="5"/>
        <tr r="O165" s="5"/>
      </tp>
    </main>
    <main first="bloomberg.rtd">
      <tp>
        <v>386.84399999999999</v>
        <stp/>
        <stp>##V3_BDPV12</stp>
        <stp>XS0968913342 Corp</stp>
        <stp>interval_high</stp>
        <stp>[hybrids_02.xlsx]issuerTable!R4C18</stp>
        <stp>calc_interval=30d</stp>
        <stp>market_data_override=sp210</stp>
        <tr r="R4" s="5"/>
      </tp>
      <tp t="s">
        <v>EUR</v>
        <stp/>
        <stp>##V3_BDPV12</stp>
        <stp>XS1629658755 Corp</stp>
        <stp>crncy</stp>
        <stp>[hybrids_02.xlsx]issuerTable!R6C5</stp>
        <tr r="E6" s="5"/>
      </tp>
    </main>
    <main first="bofaddin.rtdserver">
      <tp t="e">
        <v>#N/A</v>
        <stp/>
        <stp>BDH|8621367289229536701</stp>
        <tr r="V26" s="3"/>
      </tp>
      <tp t="e">
        <v>#N/A</v>
        <stp/>
        <stp>BDH|4754253426131108892</stp>
        <tr r="U5" s="3"/>
      </tp>
    </main>
    <main first="bofaddin.rtdserver">
      <tp t="e">
        <v>#N/A</v>
        <stp/>
        <stp>BDH|9600308556903402195</stp>
        <tr r="Z22" s="3"/>
      </tp>
      <tp t="e">
        <v>#N/A</v>
        <stp/>
        <stp>BDH|5248211294735279681</stp>
        <tr r="U364" s="5"/>
        <tr r="U358" s="5"/>
      </tp>
    </main>
    <main first="bofaddin.rtdserver">
      <tp t="e">
        <v>#N/A</v>
        <stp/>
        <stp>BDH|2201904962308798859</stp>
        <tr r="T76" s="5"/>
        <tr r="U65" s="5"/>
        <tr r="T66" s="5"/>
      </tp>
      <tp t="e">
        <v>#N/A</v>
        <stp/>
        <stp>BDH|5770786252923955965</stp>
        <tr r="Z34" s="3"/>
      </tp>
    </main>
    <main first="bloomberg.rtd">
      <tp t="s">
        <v>04/09/2023</v>
        <stp/>
        <stp>##V3_BDPV12</stp>
        <stp>AR738776 Corp</stp>
        <stp>nxt_call_dt</stp>
        <stp>[hybrids_02.xlsx]sectorTable!R34C7</stp>
        <tr r="G34" s="3"/>
      </tp>
    </main>
    <main first="bofaddin.rtdserver">
      <tp t="e">
        <v>#N/A</v>
        <stp/>
        <stp>BDH|4304331100143691957</stp>
        <tr r="U32" s="3"/>
      </tp>
    </main>
    <main first="bloomberg.rtd">
      <tp t="s">
        <v>11/08/2022</v>
        <stp/>
        <stp>##V3_BDPV12</stp>
        <stp>ZR457518 Corp</stp>
        <stp>nxt_call_dt</stp>
        <stp>[hybrids_02.xlsx]sectorTable!R26C7</stp>
        <tr r="G26" s="3"/>
      </tp>
    </main>
    <main first="bofaddin.rtdserver">
      <tp t="e">
        <v>#N/A</v>
        <stp/>
        <stp>BDH|7747331132492069825</stp>
        <tr r="U26" s="5"/>
        <tr r="T43" s="5"/>
        <tr r="T27" s="5"/>
      </tp>
    </main>
    <main first="bloomberg.rtd">
      <tp>
        <v>405.67700000000002</v>
        <stp/>
        <stp>##V3_BDPV12</stp>
        <stp>XS2187689380 Corp</stp>
        <stp>interval_low</stp>
        <stp>[hybrids_02.xlsx]issuerTable!R4C17</stp>
        <stp>calc_interval=30d</stp>
        <stp>market_data_override=sp210</stp>
        <tr r="Q4" s="5"/>
      </tp>
    </main>
    <main first="bloomberg.rtd">
      <tp t="s">
        <v>EUR</v>
        <stp/>
        <stp>##V3_BDPV12</stp>
        <stp>XS1207058733 Corp</stp>
        <stp>crncy</stp>
        <stp>[hybrids_02.xlsx]sectorTable!R8C17</stp>
        <tr r="Q8" s="3"/>
      </tp>
      <tp t="s">
        <v>EUR</v>
        <stp/>
        <stp>##V3_BDPV12</stp>
        <stp>XS1191320297 Corp</stp>
        <stp>crncy</stp>
        <stp>[hybrids_02.xlsx]sectorTable!R6C17</stp>
        <tr r="Q6" s="3"/>
      </tp>
    </main>
    <main first="bloomberg.rtd">
      <tp t="s">
        <v>17/02/2026</v>
        <stp/>
        <stp>##V3_BDPV12</stp>
        <stp>ZP989429 Corp</stp>
        <stp>nxt_call_dt</stp>
        <stp>[hybrids_02.xlsx]sectorTable!R16C8</stp>
        <tr r="H16" s="3"/>
      </tp>
    </main>
    <main first="bofaddin.rtdserver">
      <tp t="e">
        <v>#N/A</v>
        <stp/>
        <stp>BDH|8943222065224305627</stp>
        <tr r="Z21" s="3"/>
      </tp>
    </main>
    <main first="bofaddin.rtdserver">
      <tp t="e">
        <v>#N/A</v>
        <stp/>
        <stp>BDH|7226567580556172238</stp>
        <tr r="T456" s="5"/>
        <tr r="T453" s="5"/>
        <tr r="Z33" s="3"/>
      </tp>
    </main>
    <main first="bloomberg.rtd">
      <tp t="s">
        <v>09/08/2023</v>
        <stp/>
        <stp>##V3_BDPV12</stp>
        <stp>AS322477 Corp</stp>
        <stp>nxt_call_dt</stp>
        <stp>[hybrids_02.xlsx]sectorTable!R25C7</stp>
        <tr r="G25" s="3"/>
      </tp>
    </main>
    <main first="bofaddin.rtdserver">
      <tp t="e">
        <v>#N/A</v>
        <stp/>
        <stp>BDH|8652678800728585831</stp>
        <tr r="P488" s="5"/>
        <tr r="P486" s="5"/>
      </tp>
    </main>
    <main first="bofaddin.rtdserver">
      <tp t="e">
        <v>#N/A</v>
        <stp/>
        <stp>BDH|7311420883672094758</stp>
        <tr r="U436" s="5"/>
        <tr r="T437" s="5"/>
      </tp>
    </main>
    <main first="bofaddin.rtdserver">
      <tp t="e">
        <v>#N/A</v>
        <stp/>
        <stp>BDH|8051794157453996729</stp>
        <tr r="T200" s="5"/>
        <tr r="T192" s="5"/>
      </tp>
      <tp t="e">
        <v>#N/A</v>
        <stp/>
        <stp>BDH|8747008037060144540</stp>
        <tr r="V30" s="3"/>
      </tp>
    </main>
    <main first="bloomberg.rtd">
      <tp>
        <v>246.36500000000001</v>
        <stp/>
        <stp>##V3_BDPV12</stp>
        <stp>XS0968913342 Corp</stp>
        <stp>interval_low</stp>
        <stp>[hybrids_02.xlsx]issuerTable!R4C17</stp>
        <stp>calc_interval=30d</stp>
        <stp>market_data_override=sp210</stp>
        <tr r="Q4" s="5"/>
      </tp>
      <tp>
        <v>364.43089655172412</v>
        <stp/>
        <stp>##V3_BDPV12</stp>
        <stp>XS1207058733 Corp</stp>
        <stp>interval_avg</stp>
        <stp>[hybrids_02.xlsx]sectorTable!R8C31</stp>
        <stp>calc_interval=30d</stp>
        <stp>market_data_override=sp210</stp>
        <tr r="AE8" s="3"/>
      </tp>
      <tp>
        <v>255.15506070149738</v>
        <stp/>
        <stp>##V3_BDPV12</stp>
        <stp>XS1191320297 Corp</stp>
        <stp>interval_avg</stp>
        <stp>[hybrids_02.xlsx]sectorTable!R6C31</stp>
        <stp>calc_interval=30d</stp>
        <stp>market_data_override=sp210</stp>
        <tr r="AE6" s="3"/>
      </tp>
      <tp>
        <v>382.59623932235536</v>
        <stp/>
        <stp>##V3_BDPV12</stp>
        <stp>XS1191320297 Corp</stp>
        <stp>interval_avg</stp>
        <stp>[hybrids_02.xlsx]sectorTable!R6C32</stp>
        <stp>calc_interval=90d</stp>
        <stp>market_data_override=sp210</stp>
        <tr r="AF6" s="3"/>
      </tp>
      <tp>
        <v>435.32576744186059</v>
        <stp/>
        <stp>##V3_BDPV12</stp>
        <stp>XS1207058733 Corp</stp>
        <stp>interval_avg</stp>
        <stp>[hybrids_02.xlsx]sectorTable!R8C32</stp>
        <stp>calc_interval=90d</stp>
        <stp>market_data_override=sp210</stp>
        <tr r="AF8" s="3"/>
      </tp>
    </main>
    <main first="bofaddin.rtdserver">
      <tp t="e">
        <v>#N/A</v>
        <stp/>
        <stp>BDH|1048588152079838785</stp>
        <tr r="AA18" s="3"/>
      </tp>
    </main>
    <main first="bofaddin.rtdserver">
      <tp t="e">
        <v>#N/A</v>
        <stp/>
        <stp>BDH|7441241851516994966</stp>
        <tr r="AA22" s="3"/>
      </tp>
    </main>
    <main first="bloomberg.rtd">
      <tp t="s">
        <v>01/01/2025</v>
        <stp/>
        <stp>##V3_BDPV12</stp>
        <stp>ZR796682 Corp</stp>
        <stp>nxt_call_dt</stp>
        <stp>[hybrids_02.xlsx]sectorTable!R27C7</stp>
        <tr r="G27" s="3"/>
      </tp>
    </main>
    <main first="bofaddin.rtdserver">
      <tp t="e">
        <v>#N/A</v>
        <stp/>
        <stp>BDH|7043877397620533996</stp>
        <tr r="P21" s="5"/>
        <tr r="O40" s="5"/>
        <tr r="O22" s="5"/>
      </tp>
    </main>
    <main first="bofaddin.rtdserver">
      <tp t="e">
        <v>#N/A</v>
        <stp/>
        <stp>BDH|5493844646863593503</stp>
        <tr r="V35" s="3"/>
      </tp>
    </main>
    <main first="bloomberg.rtd">
      <tp t="s">
        <v>05/09/2024</v>
        <stp/>
        <stp>##V3_BDPV12</stp>
        <stp>ZR363806 Corp</stp>
        <stp>nxt_call_dt</stp>
        <stp>[hybrids_02.xlsx]sectorTable!R19C7</stp>
        <tr r="G19" s="3"/>
      </tp>
      <tp t="s">
        <v>05/06/2027</v>
        <stp/>
        <stp>##V3_BDPV12</stp>
        <stp>ZR363807 Corp</stp>
        <stp>nxt_call_dt</stp>
        <stp>[hybrids_02.xlsx]sectorTable!R19C8</stp>
        <tr r="H19" s="3"/>
      </tp>
    </main>
    <main first="bloomberg.rtd">
      <tp>
        <v>452.33100000000002</v>
        <stp/>
        <stp>##V3_BDPV12</stp>
        <stp>XS1629774230 Corp</stp>
        <stp>interval_high</stp>
        <stp>[hybrids_02.xlsx]issuerTable!R4C18</stp>
        <stp>calc_interval=30d</stp>
        <stp>market_data_override=sp210</stp>
        <tr r="R4" s="5"/>
      </tp>
      <tp>
        <v>350.20865517241378</v>
        <stp/>
        <stp>##V3_BDPV12</stp>
        <stp>XS1629658755 Corp</stp>
        <stp>interval_avg</stp>
        <stp>[hybrids_02.xlsx]issuerTable!R4C13</stp>
        <stp>calc_interval=30d</stp>
        <stp>market_data_override=sp210</stp>
        <tr r="M4" s="5"/>
      </tp>
    </main>
    <main first="bofaddin.rtdserver">
      <tp t="e">
        <v>#N/A</v>
        <stp/>
        <stp>BDH|94008196579854221</stp>
        <tr r="U272" s="5"/>
        <tr r="U266" s="5"/>
        <tr r="AA14" s="3"/>
      </tp>
    </main>
    <main first="bloomberg.rtd">
      <tp t="s">
        <v>EUR</v>
        <stp/>
        <stp>##V3_BDPV12</stp>
        <stp>XS1811181566 Corp</stp>
        <stp>crncy</stp>
        <stp>[hybrids_02.xlsx]sectorTable!R6C18</stp>
        <tr r="R6" s="3"/>
      </tp>
    </main>
    <main first="bofaddin.rtdserver">
      <tp t="e">
        <v>#N/A</v>
        <stp/>
        <stp>BDH|6874635684033032343</stp>
        <tr r="U383" s="5"/>
        <tr r="U381" s="5"/>
        <tr r="AA36" s="3"/>
      </tp>
      <tp t="e">
        <v>#N/A</v>
        <stp/>
        <stp>BDH|7190323596356895367</stp>
        <tr r="P265" s="5"/>
        <tr r="O266" s="5"/>
      </tp>
      <tp t="e">
        <v>#N/A</v>
        <stp/>
        <stp>BDH|1627881263451319650</stp>
        <tr r="U335" s="5"/>
        <tr r="T336" s="5"/>
      </tp>
    </main>
    <main first="bofaddin.rtdserver">
      <tp t="e">
        <v>#N/A</v>
        <stp/>
        <stp>BDH|9609774639345476043</stp>
        <tr r="T383" s="5"/>
        <tr r="T380" s="5"/>
      </tp>
    </main>
    <main first="bloomberg.rtd">
      <tp t="s">
        <v>03/07/2028</v>
        <stp/>
        <stp>##V3_BDPV12</stp>
        <stp>AU692498 Corp</stp>
        <stp>nxt_call_dt</stp>
        <stp>[hybrids_02.xlsx]sectorTable!R35C8</stp>
        <tr r="H35" s="3"/>
      </tp>
    </main>
    <main first="bloomberg.rtd">
      <tp t="s">
        <v>03/10/2023</v>
        <stp/>
        <stp>##V3_BDPV12</stp>
        <stp>AU654481 Corp</stp>
        <stp>nxt_call_dt</stp>
        <stp>[hybrids_02.xlsx]sectorTable!R35C7</stp>
        <tr r="G35" s="3"/>
      </tp>
    </main>
    <main first="bofaddin.rtdserver">
      <tp t="e">
        <v>#N/A</v>
        <stp/>
        <stp>BDH|5974891334513093560</stp>
        <tr r="U218" s="5"/>
        <tr r="T219" s="5"/>
      </tp>
    </main>
    <main first="bofaddin.rtdserver">
      <tp t="e">
        <v>#N/A</v>
        <stp/>
        <stp>BDH|5743518055238070532</stp>
        <tr r="AA23" s="3"/>
      </tp>
    </main>
    <main first="bofaddin.rtdserver">
      <tp t="e">
        <v>#N/A</v>
        <stp/>
        <stp>BDH|1734156744508562446</stp>
        <tr r="P383" s="5"/>
        <tr r="P381" s="5"/>
      </tp>
    </main>
    <main first="bloomberg.rtd">
      <tp t="s">
        <v>30/01/2025</v>
        <stp/>
        <stp>##V3_BDPV12</stp>
        <stp>ZP659512 Corp</stp>
        <stp>nxt_call_dt</stp>
        <stp>[hybrids_02.xlsx]sectorTable!R21C8</stp>
        <tr r="H21" s="3"/>
      </tp>
    </main>
    <main first="bofaddin.rtdserver">
      <tp t="e">
        <v>#N/A</v>
        <stp/>
        <stp>BDH|8157016868866824050</stp>
        <tr r="V25" s="3"/>
      </tp>
    </main>
    <main first="bloomberg.rtd">
      <tp>
        <v>249.95675581395355</v>
        <stp/>
        <stp>##V3_BDPV12</stp>
        <stp>XS1028599287 Corp</stp>
        <stp>interval_avg</stp>
        <stp>[hybrids_02.xlsx]sectorTable!R15C32</stp>
        <stp>calc_interval=90d</stp>
        <stp>market_data_override=sp210</stp>
        <tr r="AF15" s="3"/>
      </tp>
      <tp>
        <v>217.0879655172414</v>
        <stp/>
        <stp>##V3_BDPV12</stp>
        <stp>XS1028599287 Corp</stp>
        <stp>interval_avg</stp>
        <stp>[hybrids_02.xlsx]sectorTable!R15C31</stp>
        <stp>calc_interval=30d</stp>
        <stp>market_data_override=sp210</stp>
        <tr r="AE15" s="3"/>
      </tp>
      <tp>
        <v>430.93700000000001</v>
        <stp/>
        <stp>##V3_BDPV12</stp>
        <stp>XS1799938995 Corp</stp>
        <stp>interval_high</stp>
        <stp>[hybrids_02.xlsx]issuerTable!R4C18</stp>
        <stp>calc_interval=30d</stp>
        <stp>market_data_override=sp210</stp>
        <tr r="R4" s="5"/>
      </tp>
      <tp>
        <v>378.07834482758631</v>
        <stp/>
        <stp>##V3_BDPV12</stp>
        <stp>XS1799938995 Corp</stp>
        <stp>interval_avg</stp>
        <stp>[hybrids_02.xlsx]issuerTable!R4C13</stp>
        <stp>calc_interval=30d</stp>
        <stp>market_data_override=sp210</stp>
        <tr r="M4" s="5"/>
      </tp>
      <tp>
        <v>400.65100000000001</v>
        <stp/>
        <stp>##V3_BDPV12</stp>
        <stp>XS1206541366 Corp</stp>
        <stp>interval_high</stp>
        <stp>[hybrids_02.xlsx]issuerTable!R4C18</stp>
        <stp>calc_interval=30d</stp>
        <stp>market_data_override=sp210</stp>
        <tr r="R4" s="5"/>
      </tp>
      <tp>
        <v>442.27</v>
        <stp/>
        <stp>##V3_BDPV12</stp>
        <stp>XS2187689380 Corp</stp>
        <stp>interval_high</stp>
        <stp>[hybrids_02.xlsx]issuerTable!R4C18</stp>
        <stp>calc_interval=30d</stp>
        <stp>market_data_override=sp210</stp>
        <tr r="R4" s="5"/>
      </tp>
      <tp>
        <v>419.97300000000001</v>
        <stp/>
        <stp>##V3_BDPV12</stp>
        <stp>XS2187689034 Corp</stp>
        <stp>interval_high</stp>
        <stp>[hybrids_02.xlsx]issuerTable!R4C18</stp>
        <stp>calc_interval=30d</stp>
        <stp>market_data_override=sp210</stp>
        <tr r="R4" s="5"/>
      </tp>
      <tp>
        <v>406.04348275862071</v>
        <stp/>
        <stp>##V3_BDPV12</stp>
        <stp>XS1629774230 Corp</stp>
        <stp>interval_avg</stp>
        <stp>[hybrids_02.xlsx]issuerTable!R4C13</stp>
        <stp>calc_interval=30d</stp>
        <stp>market_data_override=sp210</stp>
        <tr r="M4" s="5"/>
      </tp>
      <tp t="s">
        <v>EUR</v>
        <stp/>
        <stp>##V3_BDPV12</stp>
        <stp>XS1048428012 Corp</stp>
        <stp>crncy</stp>
        <stp>[hybrids_02.xlsx]issuerTable!R4C5</stp>
        <tr r="E4" s="5"/>
      </tp>
      <tp t="s">
        <v>EUR</v>
        <stp/>
        <stp>##V3_BDPV12</stp>
        <stp>XS0992293901 Corp</stp>
        <stp>crncy</stp>
        <stp>[hybrids_02.xlsx]sectorTable!R4C17</stp>
        <tr r="Q4" s="3"/>
      </tp>
    </main>
    <main first="bloomberg.rtd">
      <tp t="s">
        <v>08/04/2025</v>
        <stp/>
        <stp>##V3_BDPV12</stp>
        <stp>AZ371883 Corp</stp>
        <stp>nxt_call_dt</stp>
        <stp>[hybrids_02.xlsx]sectorTable!R37C8</stp>
        <tr r="H37" s="3"/>
      </tp>
    </main>
    <main first="bofaddin.rtdserver">
      <tp t="e">
        <v>#N/A</v>
        <stp/>
        <stp>BDH|9446521063511406296</stp>
        <tr r="V12" s="3"/>
      </tp>
    </main>
    <main first="bloomberg.rtd">
      <tp t="s">
        <v>11/02/2026</v>
        <stp/>
        <stp>##V3_BDPV12</stp>
        <stp>ZP870673 Corp</stp>
        <stp>nxt_call_dt</stp>
        <stp>[hybrids_02.xlsx]sectorTable!R23C8</stp>
        <tr r="H23" s="3"/>
      </tp>
    </main>
    <main first="bofaddin.rtdserver">
      <tp t="e">
        <v>#N/A</v>
        <stp/>
        <stp>BDH|5514620161508516475</stp>
        <tr r="P289" s="5"/>
        <tr r="O290" s="5"/>
      </tp>
      <tp t="e">
        <v>#N/A</v>
        <stp/>
        <stp>BDH|1050265181836362406</stp>
        <tr r="V32" s="3"/>
      </tp>
      <tp t="e">
        <v>#N/A</v>
        <stp/>
        <stp>BDH|3448405928959076587</stp>
        <tr r="P402" s="5"/>
        <tr r="P400" s="5"/>
      </tp>
    </main>
    <main first="bofaddin.rtdserver">
      <tp t="e">
        <v>#N/A</v>
        <stp/>
        <stp>BDH|2132826286843218820</stp>
        <tr r="P319" s="5"/>
        <tr r="P313" s="5"/>
      </tp>
    </main>
    <main first="bloomberg.rtd">
      <tp>
        <v>450.30500000000001</v>
        <stp/>
        <stp>##V3_BDPV12</stp>
        <stp>XS1799939027 Corp</stp>
        <stp>interval_high</stp>
        <stp>[hybrids_02.xlsx]issuerTable!R4C18</stp>
        <stp>calc_interval=30d</stp>
        <stp>market_data_override=sp210</stp>
        <tr r="R4" s="5"/>
      </tp>
      <tp>
        <v>311.34055172413792</v>
        <stp/>
        <stp>##V3_BDPV12</stp>
        <stp>XS1048428012 Corp</stp>
        <stp>interval_avg</stp>
        <stp>[hybrids_02.xlsx]issuerTable!R4C13</stp>
        <stp>calc_interval=30d</stp>
        <stp>market_data_override=sp210</stp>
        <tr r="M4" s="5"/>
      </tp>
      <tp>
        <v>386.96065517241374</v>
        <stp/>
        <stp>##V3_BDPV12</stp>
        <stp>XS1048428442 Corp</stp>
        <stp>interval_avg</stp>
        <stp>[hybrids_02.xlsx]issuerTable!R4C13</stp>
        <stp>calc_interval=30d</stp>
        <stp>market_data_override=sp210</stp>
        <tr r="M4" s="5"/>
      </tp>
      <tp>
        <v>399.197</v>
        <stp/>
        <stp>##V3_BDPV12</stp>
        <stp>XS1206540806 Corp</stp>
        <stp>interval_high</stp>
        <stp>[hybrids_02.xlsx]issuerTable!R4C18</stp>
        <stp>calc_interval=30d</stp>
        <stp>market_data_override=sp210</stp>
        <tr r="R4" s="5"/>
      </tp>
      <tp>
        <v>338.57634482758624</v>
        <stp/>
        <stp>##V3_BDPV12</stp>
        <stp>XS1206540806 Corp</stp>
        <stp>interval_avg</stp>
        <stp>[hybrids_02.xlsx]issuerTable!R4C13</stp>
        <stp>calc_interval=30d</stp>
        <stp>market_data_override=sp210</stp>
        <tr r="M4" s="5"/>
      </tp>
      <tp>
        <v>377.72010344827584</v>
        <stp/>
        <stp>##V3_BDPV12</stp>
        <stp>XS1206541366 Corp</stp>
        <stp>interval_avg</stp>
        <stp>[hybrids_02.xlsx]issuerTable!R4C13</stp>
        <stp>calc_interval=30d</stp>
        <stp>market_data_override=sp210</stp>
        <tr r="M4" s="5"/>
      </tp>
      <tp>
        <v>373.50099999999998</v>
        <stp/>
        <stp>##V3_BDPV12</stp>
        <stp>XS2187689034 Corp</stp>
        <stp>interval_low</stp>
        <stp>[hybrids_02.xlsx]issuerTable!R4C17</stp>
        <stp>calc_interval=30d</stp>
        <stp>market_data_override=sp210</stp>
        <tr r="Q4" s="5"/>
      </tp>
      <tp t="s">
        <v>EUR</v>
        <stp/>
        <stp>##V3_BDPV12</stp>
        <stp>XS1206540806 Corp</stp>
        <stp>crncy</stp>
        <stp>[hybrids_02.xlsx]issuerTable!R5C5</stp>
        <tr r="E5" s="5"/>
      </tp>
      <tp t="s">
        <v>EDPPL 4.496 04/30/79</v>
        <stp/>
        <stp>##V3_BDPV12</stp>
        <stp>AW875570 Corp</stp>
        <stp>security_name</stp>
        <stp>[hybrids_02.xlsx]sectorTable!R9C5</stp>
        <tr r="E9" s="3"/>
      </tp>
      <tp t="s">
        <v>SESGFP 5 5/8 PERP</v>
        <stp/>
        <stp>##V3_BDPV12</stp>
        <stp>AL211915 Corp</stp>
        <stp>security_name</stp>
        <stp>[hybrids_02.xlsx]sectorTable!R5C6</stp>
        <tr r="F5" s="3"/>
      </tp>
    </main>
    <main first="bofaddin.rtdserver">
      <tp t="e">
        <v>#N/A</v>
        <stp/>
        <stp>BDH|9058312548843073732</stp>
        <tr r="U31" s="3"/>
      </tp>
    </main>
    <main first="bofaddin.rtdserver">
      <tp t="e">
        <v>#N/A</v>
        <stp/>
        <stp>BDH|3701301983895763780</stp>
        <tr r="P41" s="5"/>
        <tr r="P29" s="5"/>
        <tr r="O30" s="5"/>
      </tp>
    </main>
    <main first="bloomberg.rtd">
      <tp t="s">
        <v>13/11/2025</v>
        <stp/>
        <stp>##V3_BDPV12</stp>
        <stp>AP809058 Corp</stp>
        <stp>nxt_call_dt</stp>
        <stp>[hybrids_02.xlsx]sectorTable!R26C8</stp>
        <tr r="H26" s="3"/>
      </tp>
    </main>
    <main first="bofaddin.rtdserver">
      <tp t="e">
        <v>#N/A</v>
        <stp/>
        <stp>BDH|2868036485185764566</stp>
        <tr r="P27" s="5"/>
        <tr r="O28" s="5"/>
      </tp>
      <tp t="e">
        <v>#N/A</v>
        <stp/>
        <stp>BDH|2457094609788934026</stp>
        <tr r="P242" s="5"/>
        <tr r="O243" s="5"/>
      </tp>
    </main>
    <main first="bofaddin.rtdserver">
      <tp t="e">
        <v>#N/A</v>
        <stp/>
        <stp>BDH|3848812315726550657</stp>
        <tr r="AA20" s="3"/>
      </tp>
    </main>
    <main first="bloomberg.rtd">
      <tp t="s">
        <v>27/04/2024</v>
        <stp/>
        <stp>##V3_BDPV12</stp>
        <stp>ZS235422 Corp</stp>
        <stp>nxt_call_dt</stp>
        <stp>[hybrids_02.xlsx]sectorTable!R21C7</stp>
        <tr r="G21" s="3"/>
      </tp>
    </main>
    <main first="bloomberg.rtd">
      <tp t="s">
        <v>05/11/2020</v>
        <stp/>
        <stp>##V3_BDPV12</stp>
        <stp>UV391246 Corp</stp>
        <stp>nxt_call_dt</stp>
        <stp>[hybrids_02.xlsx]sectorTable!R12C7</stp>
        <tr r="G12" s="3"/>
      </tp>
    </main>
    <main first="bofaddin.rtdserver">
      <tp t="e">
        <v>#N/A</v>
        <stp/>
        <stp>BDH|9800294955652104602</stp>
        <tr r="U16" s="3"/>
      </tp>
    </main>
    <main first="bloomberg.rtd">
      <tp>
        <v>453.20234883720951</v>
        <stp/>
        <stp>##V3_BDPV12</stp>
        <stp>XS1219498141 Corp</stp>
        <stp>interval_avg</stp>
        <stp>[hybrids_02.xlsx]sectorTable!R38C32</stp>
        <stp>calc_interval=90d</stp>
        <stp>market_data_override=sp210</stp>
        <tr r="AF38" s="3"/>
      </tp>
      <tp>
        <v>330.6566206896552</v>
        <stp/>
        <stp>##V3_BDPV12</stp>
        <stp>XS1219498141 Corp</stp>
        <stp>interval_avg</stp>
        <stp>[hybrids_02.xlsx]sectorTable!R38C31</stp>
        <stp>calc_interval=30d</stp>
        <stp>market_data_override=sp210</stp>
        <tr r="AE38" s="3"/>
      </tp>
      <tp>
        <v>411.21410344827586</v>
        <stp/>
        <stp>##V3_BDPV12</stp>
        <stp>XS1799939027 Corp</stp>
        <stp>interval_avg</stp>
        <stp>[hybrids_02.xlsx]issuerTable!R4C13</stp>
        <stp>calc_interval=30d</stp>
        <stp>market_data_override=sp210</stp>
        <tr r="M4" s="5"/>
      </tp>
    </main>
    <main first="bloomberg.rtd">
      <tp t="s">
        <v>SESGFP 4 5/8 PERP</v>
        <stp/>
        <stp>##V3_BDPV12</stp>
        <stp>LW253022 Corp</stp>
        <stp>security_name</stp>
        <stp>[hybrids_02.xlsx]sectorTable!R5C5</stp>
        <tr r="E5" s="3"/>
      </tp>
    </main>
    <main first="bofaddin.rtdserver">
      <tp t="e">
        <v>#N/A</v>
        <stp/>
        <stp>BDH|7835986152196359695</stp>
        <tr r="Z23" s="3"/>
      </tp>
    </main>
    <main first="bofaddin.rtdserver">
      <tp t="e">
        <v>#N/A</v>
        <stp/>
        <stp>BDH|6654465410299879118</stp>
        <tr r="O249" s="5"/>
        <tr r="O241" s="5"/>
      </tp>
    </main>
    <main first="bloomberg.rtd">
      <tp t="s">
        <v>09/09/2027</v>
        <stp/>
        <stp>##V3_BDPV12</stp>
        <stp>ZQ804479 Corp</stp>
        <stp>nxt_call_dt</stp>
        <stp>[hybrids_02.xlsx]sectorTable!R22C8</stp>
        <tr r="H22" s="3"/>
      </tp>
    </main>
    <main first="bofaddin.rtdserver">
      <tp t="e">
        <v>#N/A</v>
        <stp/>
        <stp>BDH|6026935903831950556</stp>
        <tr r="Z37" s="3"/>
      </tp>
      <tp t="e">
        <v>#N/A</v>
        <stp/>
        <stp>BDH|1891767233447979983</stp>
        <tr r="U22" s="3"/>
      </tp>
    </main>
    <main first="bofaddin.rtdserver">
      <tp t="e">
        <v>#N/A</v>
        <stp/>
        <stp>BDH|1135800136439515804</stp>
        <tr r="U219" s="5"/>
        <tr r="T220" s="5"/>
        <tr r="AA11" s="3"/>
      </tp>
    </main>
    <main first="bloomberg.rtd">
      <tp t="s">
        <v>16/01/2023</v>
        <stp/>
        <stp>##V3_BDPV12</stp>
        <stp>AQ711148 Corp</stp>
        <stp>nxt_call_dt</stp>
        <stp>[hybrids_02.xlsx]sectorTable!R37C7</stp>
        <tr r="G37" s="3"/>
      </tp>
    </main>
    <main first="bofaddin.rtdserver">
      <tp t="e">
        <v>#N/A</v>
        <stp/>
        <stp>BDH|6005537736922732937</stp>
        <tr r="Z29" s="3"/>
      </tp>
    </main>
    <main first="bofaddin.rtdserver">
      <tp t="e">
        <v>#N/A</v>
        <stp/>
        <stp>BDH|8887155233921068094</stp>
        <tr r="P418" s="5"/>
        <tr r="O419" s="5"/>
      </tp>
      <tp t="e">
        <v>#N/A</v>
        <stp/>
        <stp>BDH|5733208632138150734</stp>
        <tr r="U217" s="5"/>
        <tr r="T218" s="5"/>
        <tr r="Z11" s="3"/>
      </tp>
    </main>
    <main first="bloomberg.rtd">
      <tp>
        <v>317.72503448275864</v>
        <stp/>
        <stp>##V3_BDPV12</stp>
        <stp>XS0992293901 Corp</stp>
        <stp>interval_avg</stp>
        <stp>[hybrids_02.xlsx]sectorTable!R4C31</stp>
        <stp>calc_interval=30d</stp>
        <stp>market_data_override=sp210</stp>
        <tr r="AE4" s="3"/>
      </tp>
      <tp>
        <v>359.95256976744184</v>
        <stp/>
        <stp>##V3_BDPV12</stp>
        <stp>XS0992293901 Corp</stp>
        <stp>interval_avg</stp>
        <stp>[hybrids_02.xlsx]sectorTable!R4C32</stp>
        <stp>calc_interval=90d</stp>
        <stp>market_data_override=sp210</stp>
        <tr r="AF4" s="3"/>
      </tp>
      <tp t="s">
        <v>EUR</v>
        <stp/>
        <stp>##V3_BDPV12</stp>
        <stp>FR0013457157 Corp</stp>
        <stp>crncy</stp>
        <stp>[hybrids_02.xlsx]sectorTable!R7C18</stp>
        <tr r="R7" s="3"/>
      </tp>
      <tp t="s">
        <v>REPSM 3 3/4 PERP</v>
        <stp/>
        <stp>##V3_BDPV12</stp>
        <stp>BJ814648 Corp</stp>
        <stp>security_name</stp>
        <stp>[hybrids_02.xlsx]sectorTable!R8C6</stp>
        <tr r="F8" s="3"/>
      </tp>
    </main>
    <main first="bofaddin.rtdserver">
      <tp t="e">
        <v>#N/A</v>
        <stp/>
        <stp>BDH|1687171390519235489</stp>
        <tr r="U27" s="3"/>
      </tp>
    </main>
    <main first="bofaddin.rtdserver">
      <tp t="e">
        <v>#N/A</v>
        <stp/>
        <stp>BDH|5255640115294724270</stp>
        <tr r="AA9" s="3"/>
      </tp>
    </main>
    <main first="bofaddin.rtdserver">
      <tp t="e">
        <v>#N/A</v>
        <stp/>
        <stp>BDH|7029302203586531662</stp>
        <tr r="U469" s="5"/>
        <tr r="T470" s="5"/>
      </tp>
    </main>
    <main first="bofaddin.rtdserver">
      <tp t="e">
        <v>#N/A</v>
        <stp/>
        <stp>BDH|6709105031677016773</stp>
        <tr r="AA19" s="3"/>
      </tp>
    </main>
    <main first="bofaddin.rtdserver">
      <tp t="e">
        <v>#N/A</v>
        <stp/>
        <stp>BDH|6669047415372529159</stp>
        <tr r="P202" s="5"/>
        <tr r="P200" s="5"/>
        <tr r="P195" s="5"/>
      </tp>
      <tp t="e">
        <v>#N/A</v>
        <stp/>
        <stp>BDH|9093366094523564401</stp>
        <tr r="Z39" s="3"/>
      </tp>
    </main>
    <main first="bofaddin.rtdserver">
      <tp t="e">
        <v>#N/A</v>
        <stp/>
        <stp>BDH|8935598993457275747</stp>
        <tr r="P101" s="5"/>
        <tr r="O110" s="5"/>
        <tr r="O102" s="5"/>
      </tp>
    </main>
    <main first="bloomberg.rtd">
      <tp>
        <v>254.25918604651167</v>
        <stp/>
        <stp>##V3_BDPV12</stp>
        <stp>XS2035564975 Corp</stp>
        <stp>interval_avg</stp>
        <stp>[hybrids_02.xlsx]sectorTable!R24C32</stp>
        <stp>calc_interval=90d</stp>
        <stp>market_data_override=sp210</stp>
        <tr r="AF24" s="3"/>
      </tp>
      <tp>
        <v>203.99934482758619</v>
        <stp/>
        <stp>##V3_BDPV12</stp>
        <stp>XS1501167164 Corp</stp>
        <stp>interval_avg</stp>
        <stp>[hybrids_02.xlsx]sectorTable!R28C31</stp>
        <stp>calc_interval=30d</stp>
        <stp>market_data_override=sp210</stp>
        <tr r="AE28" s="3"/>
      </tp>
      <tp>
        <v>201.98927586206895</v>
        <stp/>
        <stp>##V3_BDPV12</stp>
        <stp>XS2035564975 Corp</stp>
        <stp>interval_avg</stp>
        <stp>[hybrids_02.xlsx]sectorTable!R24C31</stp>
        <stp>calc_interval=30d</stp>
        <stp>market_data_override=sp210</stp>
        <tr r="AE24" s="3"/>
      </tp>
      <tp>
        <v>265.84559302325596</v>
        <stp/>
        <stp>##V3_BDPV12</stp>
        <stp>XS1501167164 Corp</stp>
        <stp>interval_avg</stp>
        <stp>[hybrids_02.xlsx]sectorTable!R28C32</stp>
        <stp>calc_interval=90d</stp>
        <stp>market_data_override=sp210</stp>
        <tr r="AF28" s="3"/>
      </tp>
      <tp>
        <v>820.88317441860454</v>
        <stp/>
        <stp>##V3_BDPV12</stp>
        <stp>FR0013399177 Corp</stp>
        <stp>interval_avg</stp>
        <stp>[hybrids_02.xlsx]sectorTable!R7C32</stp>
        <stp>calc_interval=90d</stp>
        <stp>market_data_override=sp210</stp>
        <tr r="AF7" s="3"/>
      </tp>
      <tp>
        <v>401.90826666666663</v>
        <stp/>
        <stp>##V3_BDPV12</stp>
        <stp>XS2187689034 Corp</stp>
        <stp>interval_avg</stp>
        <stp>[hybrids_02.xlsx]issuerTable!R4C13</stp>
        <stp>calc_interval=30d</stp>
        <stp>market_data_override=sp210</stp>
        <tr r="M4" s="5"/>
      </tp>
      <tp>
        <v>706.75265517241394</v>
        <stp/>
        <stp>##V3_BDPV12</stp>
        <stp>FR0013399177 Corp</stp>
        <stp>interval_avg</stp>
        <stp>[hybrids_02.xlsx]sectorTable!R7C31</stp>
        <stp>calc_interval=30d</stp>
        <stp>market_data_override=sp210</stp>
        <tr r="AE7" s="3"/>
      </tp>
      <tp>
        <v>319.91500000000002</v>
        <stp/>
        <stp>##V3_BDPV12</stp>
        <stp>XS1206541366 Corp</stp>
        <stp>interval_low</stp>
        <stp>[hybrids_02.xlsx]issuerTable!R4C17</stp>
        <stp>calc_interval=30d</stp>
        <stp>market_data_override=sp210</stp>
        <tr r="Q4" s="5"/>
      </tp>
      <tp>
        <v>190.495</v>
        <stp/>
        <stp>##V3_BDPV12</stp>
        <stp>XS1206540806 Corp</stp>
        <stp>interval_low</stp>
        <stp>[hybrids_02.xlsx]issuerTable!R4C17</stp>
        <stp>calc_interval=30d</stp>
        <stp>market_data_override=sp210</stp>
        <tr r="Q4" s="5"/>
      </tp>
      <tp>
        <v>210.542</v>
        <stp/>
        <stp>##V3_BDPV12</stp>
        <stp>XS1048428012 Corp</stp>
        <stp>interval_low</stp>
        <stp>[hybrids_02.xlsx]issuerTable!R4C17</stp>
        <stp>calc_interval=30d</stp>
        <stp>market_data_override=sp210</stp>
        <tr r="Q4" s="5"/>
      </tp>
      <tp>
        <v>306.81900000000002</v>
        <stp/>
        <stp>##V3_BDPV12</stp>
        <stp>XS1048428442 Corp</stp>
        <stp>interval_low</stp>
        <stp>[hybrids_02.xlsx]issuerTable!R4C17</stp>
        <stp>calc_interval=30d</stp>
        <stp>market_data_override=sp210</stp>
        <tr r="Q4" s="5"/>
      </tp>
      <tp t="s">
        <v>EDPPL 1.7 07/20/80</v>
        <stp/>
        <stp>##V3_BDPV12</stp>
        <stp>ZP454068 Corp</stp>
        <stp>security_name</stp>
        <stp>[hybrids_02.xlsx]sectorTable!R9C6</stp>
        <tr r="F9" s="3"/>
      </tp>
    </main>
    <main first="bofaddin.rtdserver">
      <tp t="e">
        <v>#N/A</v>
        <stp/>
        <stp>BDH|4818875001271480808</stp>
        <tr r="U172" s="5"/>
        <tr r="U170" s="5"/>
        <tr r="U165" s="5"/>
      </tp>
    </main>
    <main first="bofaddin.rtdserver">
      <tp t="e">
        <v>#N/A</v>
        <stp/>
        <stp>BDH|8208684388546269580</stp>
        <tr r="Z16" s="3"/>
      </tp>
    </main>
    <main first="bofaddin.rtdserver">
      <tp t="e">
        <v>#N/A</v>
        <stp/>
        <stp>BDH|3369093575951942074</stp>
        <tr r="T226" s="5"/>
        <tr r="T217" s="5"/>
      </tp>
      <tp t="e">
        <v>#N/A</v>
        <stp/>
        <stp>BDH|9632947904330293551</stp>
        <tr r="P218" s="5"/>
        <tr r="O219" s="5"/>
      </tp>
    </main>
    <main first="bofaddin.rtdserver">
      <tp t="e">
        <v>#N/A</v>
        <stp/>
        <stp>BDH|4232471062270444341</stp>
        <tr r="V39" s="3"/>
      </tp>
    </main>
    <main first="bloomberg.rtd">
      <tp>
        <v>199.08906896551727</v>
        <stp/>
        <stp>##V3_BDPV12</stp>
        <stp>XS1721244371 Corp</stp>
        <stp>interval_avg</stp>
        <stp>[hybrids_02.xlsx]sectorTable!R33C31</stp>
        <stp>calc_interval=30d</stp>
        <stp>market_data_override=sp210</stp>
        <tr r="AE33" s="3"/>
      </tp>
      <tp>
        <v>238.81716279069775</v>
        <stp/>
        <stp>##V3_BDPV12</stp>
        <stp>XS1721244371 Corp</stp>
        <stp>interval_avg</stp>
        <stp>[hybrids_02.xlsx]sectorTable!R33C32</stp>
        <stp>calc_interval=90d</stp>
        <stp>market_data_override=sp210</stp>
        <tr r="AF33" s="3"/>
      </tp>
      <tp>
        <v>523.58100000000002</v>
        <stp/>
        <stp>##V3_BDPV12</stp>
        <stp>XS1048428012 Corp</stp>
        <stp>interval_high</stp>
        <stp>[hybrids_02.xlsx]issuerTable!R4C18</stp>
        <stp>calc_interval=30d</stp>
        <stp>market_data_override=sp210</stp>
        <tr r="R4" s="5"/>
      </tp>
      <tp>
        <v>427.00599999999997</v>
        <stp/>
        <stp>##V3_BDPV12</stp>
        <stp>XS1048428442 Corp</stp>
        <stp>interval_high</stp>
        <stp>[hybrids_02.xlsx]issuerTable!R4C18</stp>
        <stp>calc_interval=30d</stp>
        <stp>market_data_override=sp210</stp>
        <tr r="R4" s="5"/>
      </tp>
      <tp>
        <v>332.053</v>
        <stp/>
        <stp>##V3_BDPV12</stp>
        <stp>XS1629774230 Corp</stp>
        <stp>interval_low</stp>
        <stp>[hybrids_02.xlsx]issuerTable!R4C17</stp>
        <stp>calc_interval=30d</stp>
        <stp>market_data_override=sp210</stp>
        <tr r="Q4" s="5"/>
      </tp>
      <tp>
        <v>282.30399999999997</v>
        <stp/>
        <stp>##V3_BDPV12</stp>
        <stp>XS1799938995 Corp</stp>
        <stp>interval_low</stp>
        <stp>[hybrids_02.xlsx]issuerTable!R4C17</stp>
        <stp>calc_interval=30d</stp>
        <stp>market_data_override=sp210</stp>
        <tr r="Q4" s="5"/>
      </tp>
    </main>
    <main first="bofaddin.rtdserver">
      <tp t="e">
        <v>#N/A</v>
        <stp/>
        <stp>BDH|2948547851316066264</stp>
        <tr r="AA39" s="3"/>
      </tp>
    </main>
    <main first="bofaddin.rtdserver">
      <tp t="e">
        <v>#N/A</v>
        <stp/>
        <stp>BDH|7872248207653372059</stp>
        <tr r="U485" s="5"/>
        <tr r="T486" s="5"/>
        <tr r="Z7" s="3"/>
      </tp>
      <tp t="e">
        <v>#N/A</v>
        <stp/>
        <stp>BDH|4438693072310059328</stp>
        <tr r="O296" s="5"/>
        <tr r="O288" s="5"/>
      </tp>
      <tp t="e">
        <v>#N/A</v>
        <stp/>
        <stp>BDH|1028814706029724627</stp>
        <tr r="P357" s="5"/>
        <tr r="O358" s="5"/>
      </tp>
      <tp t="e">
        <v>#N/A</v>
        <stp/>
        <stp>BDH|9561429578614570883</stp>
        <tr r="V14" s="3"/>
      </tp>
    </main>
    <main first="bofaddin.rtdserver">
      <tp t="e">
        <v>#N/A</v>
        <stp/>
        <stp>BDH|6534177774342154445</stp>
        <tr r="P65" s="5"/>
        <tr r="O66" s="5"/>
        <tr r="O76" s="5"/>
      </tp>
    </main>
    <main first="bofaddin.rtdserver">
      <tp t="e">
        <v>#N/A</v>
        <stp/>
        <stp>BDH|3025089941405911408</stp>
        <tr r="V4" s="3"/>
      </tp>
    </main>
    <main first="bofaddin.rtdserver">
      <tp t="e">
        <v>#N/A</v>
        <stp/>
        <stp>BDH|3448328383777351978</stp>
        <tr r="T170" s="5"/>
        <tr r="T162" s="5"/>
      </tp>
    </main>
    <main first="bloomberg.rtd">
      <tp t="s">
        <v>22/01/2025</v>
        <stp/>
        <stp>##V3_BDPV12</stp>
        <stp>ZQ099270 Corp</stp>
        <stp>nxt_call_dt</stp>
        <stp>[hybrids_02.xlsx]sectorTable!R29C7</stp>
        <tr r="G29" s="3"/>
      </tp>
    </main>
    <main first="bofaddin.rtdserver">
      <tp t="e">
        <v>#N/A</v>
        <stp/>
        <stp>BDH|3583896699331996583</stp>
        <tr r="U6" s="3"/>
      </tp>
    </main>
    <main first="bloomberg.rtd">
      <tp t="s">
        <v>EUR</v>
        <stp/>
        <stp>##V3_BDPV12</stp>
        <stp>XS2187689034 Corp</stp>
        <stp>crncy</stp>
        <stp>[hybrids_02.xlsx]issuerTable!R9C5</stp>
        <tr r="E9" s="5"/>
      </tp>
    </main>
    <main first="bloomberg.rtd">
      <tp t="s">
        <v>EUR</v>
        <stp/>
        <stp>##V3_BDPV12</stp>
        <stp>XS1323897725 Corp</stp>
        <stp>crncy</stp>
        <stp>[hybrids_02.xlsx]sectorTable!R4C18</stp>
        <tr r="R4" s="3"/>
      </tp>
    </main>
    <main first="bofaddin.rtdserver">
      <tp t="e">
        <v>#N/A</v>
        <stp/>
        <stp>BDH|9475737327589910231</stp>
        <tr r="U334" s="5"/>
        <tr r="T335" s="5"/>
      </tp>
      <tp t="e">
        <v>#N/A</v>
        <stp/>
        <stp>BDH|1012712463161847600</stp>
        <tr r="U194" s="5"/>
        <tr r="T195" s="5"/>
      </tp>
    </main>
    <main first="bofaddin.rtdserver">
      <tp t="e">
        <v>#N/A</v>
        <stp/>
        <stp>BDH|5017667074871281292</stp>
        <tr r="U22" s="5"/>
        <tr r="T41" s="5"/>
        <tr r="T23" s="5"/>
      </tp>
    </main>
    <main first="bofaddin.rtdserver">
      <tp t="e">
        <v>#N/A</v>
        <stp/>
        <stp>BDH|5062893408409705380</stp>
        <tr r="O439" s="5"/>
        <tr r="O436" s="5"/>
      </tp>
    </main>
    <main first="bofaddin.rtdserver">
      <tp t="e">
        <v>#N/A</v>
        <stp/>
        <stp>BDH|8095353086454595093</stp>
        <tr r="U472" s="5"/>
        <tr r="U470" s="5"/>
      </tp>
    </main>
    <main first="bofaddin.rtdserver">
      <tp t="e">
        <v>#N/A</v>
        <stp/>
        <stp>BDH|1501941299222436404</stp>
        <tr r="P342" s="5"/>
        <tr r="P336" s="5"/>
      </tp>
      <tp t="e">
        <v>#N/A</v>
        <stp/>
        <stp>BDH|1579796302120108134</stp>
        <tr r="U12" s="3"/>
      </tp>
    </main>
    <main first="bofaddin.rtdserver">
      <tp t="e">
        <v>#N/A</v>
        <stp/>
        <stp>BDH|3942205210857705033</stp>
        <tr r="T249" s="5"/>
        <tr r="T241" s="5"/>
      </tp>
    </main>
    <main first="bofaddin.rtdserver">
      <tp t="e">
        <v>#N/A</v>
        <stp/>
        <stp>BDH|5897081002617202526</stp>
        <tr r="U356" s="5"/>
        <tr r="T357" s="5"/>
      </tp>
      <tp t="e">
        <v>#N/A</v>
        <stp/>
        <stp>BDH|5944117722510924119</stp>
        <tr r="U7" s="3"/>
      </tp>
    </main>
    <main first="bofaddin.rtdserver">
      <tp t="e">
        <v>#N/A</v>
        <stp/>
        <stp>BDH|9920273899943281646</stp>
        <tr r="V33" s="3"/>
      </tp>
      <tp t="e">
        <v>#N/A</v>
        <stp/>
        <stp>BDH|1252427763142536678</stp>
        <tr r="U14" s="3"/>
      </tp>
    </main>
    <main first="bloomberg.rtd">
      <tp t="s">
        <v>18/07/2029</v>
        <stp/>
        <stp>##V3_BDPV12</stp>
        <stp>ZQ100348 Corp</stp>
        <stp>nxt_call_dt</stp>
        <stp>[hybrids_02.xlsx]sectorTable!R29C8</stp>
        <tr r="H29" s="3"/>
      </tp>
    </main>
    <main first="bofaddin.rtdserver">
      <tp t="e">
        <v>#N/A</v>
        <stp/>
        <stp>BDH|5956307133035501790</stp>
        <tr r="P439" s="5"/>
        <tr r="P437" s="5"/>
      </tp>
      <tp t="e">
        <v>#N/A</v>
        <stp/>
        <stp>BDH|8766907501444187211</stp>
        <tr r="U30" s="3"/>
      </tp>
    </main>
    <main first="bofaddin.rtdserver">
      <tp t="e">
        <v>#N/A</v>
        <stp/>
        <stp>BDH|3686450437455952695</stp>
        <tr r="P421" s="5"/>
        <tr r="P419" s="5"/>
      </tp>
    </main>
    <main first="bloomberg.rtd">
      <tp>
        <v>348.66</v>
        <stp/>
        <stp>##V3_BDPV12</stp>
        <stp>XS1799939027 Corp</stp>
        <stp>interval_low</stp>
        <stp>[hybrids_02.xlsx]issuerTable!R4C17</stp>
        <stp>calc_interval=30d</stp>
        <stp>market_data_override=sp210</stp>
        <tr r="Q4" s="5"/>
      </tp>
      <tp t="s">
        <v>EUR</v>
        <stp/>
        <stp>##V3_BDPV12</stp>
        <stp>FR0013399177 Corp</stp>
        <stp>crncy</stp>
        <stp>[hybrids_02.xlsx]sectorTable!R7C17</stp>
        <tr r="Q7" s="3"/>
      </tp>
    </main>
    <main first="bofaddin.rtdserver">
      <tp t="e">
        <v>#N/A</v>
        <stp/>
        <stp>BDH|5137927338548030740</stp>
        <tr r="U439" s="5"/>
        <tr r="U437" s="5"/>
      </tp>
    </main>
    <main first="bofaddin.rtdserver">
      <tp t="e">
        <v>#N/A</v>
        <stp/>
        <stp>BDH|1329511185699201592</stp>
        <tr r="U103" s="5"/>
        <tr r="T104" s="5"/>
      </tp>
    </main>
    <main first="bofaddin.rtdserver">
      <tp t="e">
        <v>#N/A</v>
        <stp/>
        <stp>BDH|8701268755008583717</stp>
        <tr r="P102" s="5"/>
        <tr r="O112" s="5"/>
        <tr r="O103" s="5"/>
      </tp>
    </main>
    <main first="bofaddin.rtdserver">
      <tp t="e">
        <v>#N/A</v>
        <stp/>
        <stp>BDH|2978703143983350288</stp>
        <tr r="O383" s="5"/>
        <tr r="O380" s="5"/>
      </tp>
      <tp t="e">
        <v>#N/A</v>
        <stp/>
        <stp>BDH|4060715975461170545</stp>
        <tr r="U265" s="5"/>
        <tr r="T266" s="5"/>
      </tp>
      <tp t="e">
        <v>#N/A</v>
        <stp/>
        <stp>BDH|1466709495877095807</stp>
        <tr r="V11" s="3"/>
      </tp>
      <tp t="e">
        <v>#N/A</v>
        <stp/>
        <stp>BDH|6698785652173977743</stp>
        <tr r="T272" s="5"/>
        <tr r="T264" s="5"/>
      </tp>
    </main>
    <main first="bofaddin.rtdserver">
      <tp t="e">
        <v>#N/A</v>
        <stp/>
        <stp>BDH|1332692281958892758</stp>
        <tr r="V16" s="3"/>
      </tp>
    </main>
    <main first="bofaddin.rtdserver">
      <tp t="e">
        <v>#N/A</v>
        <stp/>
        <stp>BDH|9147325335939101007</stp>
        <tr r="U193" s="5"/>
        <tr r="T202" s="5"/>
        <tr r="T194" s="5"/>
      </tp>
    </main>
    <main first="bofaddin.rtdserver">
      <tp t="e">
        <v>#N/A</v>
        <stp/>
        <stp>BDH|1127104903037407723</stp>
        <tr r="P163" s="5"/>
        <tr r="O172" s="5"/>
        <tr r="O164" s="5"/>
      </tp>
      <tp t="e">
        <v>#N/A</v>
        <stp/>
        <stp>BDH|1217718110636359146</stp>
        <tr r="Z27" s="3"/>
      </tp>
    </main>
    <main first="bofaddin.rtdserver">
      <tp t="e">
        <v>#N/A</v>
        <stp/>
        <stp>BDH|2360263447916560221</stp>
        <tr r="P469" s="5"/>
        <tr r="O470" s="5"/>
      </tp>
    </main>
    <main first="bloomberg.rtd">
      <tp>
        <v>295.95248275862076</v>
        <stp/>
        <stp>##V3_BDPV12</stp>
        <stp>XS1713462403 Corp</stp>
        <stp>interval_avg</stp>
        <stp>[hybrids_02.xlsx]sectorTable!R32C31</stp>
        <stp>calc_interval=30d</stp>
        <stp>market_data_override=sp210</stp>
        <tr r="AE32" s="3"/>
      </tp>
      <tp>
        <v>360.67143023255824</v>
        <stp/>
        <stp>##V3_BDPV12</stp>
        <stp>XS1713462403 Corp</stp>
        <stp>interval_avg</stp>
        <stp>[hybrids_02.xlsx]sectorTable!R32C32</stp>
        <stp>calc_interval=90d</stp>
        <stp>market_data_override=sp210</stp>
        <tr r="AF32" s="3"/>
      </tp>
      <tp>
        <v>426.46746666666661</v>
        <stp/>
        <stp>##V3_BDPV12</stp>
        <stp>XS2187689380 Corp</stp>
        <stp>interval_avg</stp>
        <stp>[hybrids_02.xlsx]issuerTable!R4C13</stp>
        <stp>calc_interval=30d</stp>
        <stp>market_data_override=sp210</stp>
        <tr r="M4" s="5"/>
      </tp>
    </main>
    <main first="bofaddin.rtdserver">
      <tp t="e">
        <v>#N/A</v>
        <stp/>
        <stp>BDH|1305077481989913166</stp>
        <tr r="Z35" s="3"/>
      </tp>
    </main>
    <main first="bofaddin.rtdserver">
      <tp t="e">
        <v>#N/A</v>
        <stp/>
        <stp>BDH|2851947596521930280</stp>
        <tr r="P23" s="5"/>
        <tr r="O24" s="5"/>
      </tp>
      <tp t="e">
        <v>#N/A</v>
        <stp/>
        <stp>BDH|4867915312274263921</stp>
        <tr r="AA37" s="3"/>
      </tp>
    </main>
    <main first="bofaddin.rtdserver">
      <tp t="e">
        <v>#N/A</v>
        <stp/>
        <stp>BDH|6227918783722109497</stp>
        <tr r="U288" s="5"/>
        <tr r="T289" s="5"/>
      </tp>
    </main>
    <main first="bofaddin.rtdserver">
      <tp t="e">
        <v>#N/A</v>
        <stp/>
        <stp>BDH|1472457328691813786</stp>
        <tr r="V31" s="3"/>
      </tp>
    </main>
    <main first="bofaddin.rtdserver">
      <tp t="e">
        <v>#N/A</v>
        <stp/>
        <stp>BDH|1071282601456046409</stp>
        <tr r="P194" s="5"/>
        <tr r="O195" s="5"/>
      </tp>
    </main>
    <main first="bofaddin.rtdserver">
      <tp t="e">
        <v>#N/A</v>
        <stp/>
        <stp>BDH|2856425310843193552</stp>
        <tr r="U241" s="5"/>
        <tr r="T242" s="5"/>
        <tr r="Z4" s="3"/>
      </tp>
    </main>
    <main first="bloomberg.rtd">
      <tp t="s">
        <v>01/01/2028</v>
        <stp/>
        <stp>##V3_BDPV12</stp>
        <stp>ZR796862 Corp</stp>
        <stp>nxt_call_dt</stp>
        <stp>[hybrids_02.xlsx]sectorTable!R27C8</stp>
        <tr r="H27" s="3"/>
      </tp>
    </main>
    <main first="bofaddin.rtdserver">
      <tp t="e">
        <v>#N/A</v>
        <stp/>
        <stp>BDH|2309446417791343717</stp>
        <tr r="U10" s="3"/>
      </tp>
    </main>
    <main first="bloomberg.rtd">
      <tp t="s">
        <v>08/07/2023</v>
        <stp/>
        <stp>##V3_BDPV12</stp>
        <stp>AR936992 Corp</stp>
        <stp>nxt_call_dt</stp>
        <stp>[hybrids_02.xlsx]sectorTable!R16C7</stp>
        <tr r="G16" s="3"/>
      </tp>
    </main>
    <main first="bofaddin.rtdserver">
      <tp t="e">
        <v>#N/A</v>
        <stp/>
        <stp>BDH|5214855890492136764</stp>
        <tr r="U36" s="3"/>
      </tp>
    </main>
    <main first="bofaddin.rtdserver">
      <tp t="e">
        <v>#N/A</v>
        <stp/>
        <stp>BDH|5365169431901128749</stp>
        <tr r="V23" s="3"/>
      </tp>
    </main>
    <main first="bofaddin.rtdserver">
      <tp t="e">
        <v>#N/A</v>
        <stp/>
        <stp>BDH|6717599758430069736</stp>
        <tr r="T421" s="5"/>
        <tr r="T418" s="5"/>
      </tp>
    </main>
    <main first="bloomberg.rtd">
      <tp>
        <v>254.93765517241383</v>
        <stp/>
        <stp>##V3_BDPV12</stp>
        <stp>XS1713463716 Corp</stp>
        <stp>interval_avg</stp>
        <stp>[hybrids_02.xlsx]sectorTable!R13C31</stp>
        <stp>calc_interval=30d</stp>
        <stp>market_data_override=sp210</stp>
        <tr r="AE13" s="3"/>
      </tp>
      <tp>
        <v>335.25166279069765</v>
        <stp/>
        <stp>##V3_BDPV12</stp>
        <stp>XS1713463716 Corp</stp>
        <stp>interval_avg</stp>
        <stp>[hybrids_02.xlsx]sectorTable!R13C32</stp>
        <stp>calc_interval=90d</stp>
        <stp>market_data_override=sp210</stp>
        <tr r="AF13" s="3"/>
      </tp>
      <tp t="s">
        <v>EUR</v>
        <stp/>
        <stp>##V3_BDPV12</stp>
        <stp>XS1799938995 Corp</stp>
        <stp>crncy</stp>
        <stp>[hybrids_02.xlsx]issuerTable!R8C5</stp>
        <tr r="E8" s="5"/>
      </tp>
    </main>
    <main first="bofaddin.rtdserver">
      <tp t="e">
        <v>#N/A</v>
        <stp/>
        <stp>BDH|6778340753334240683</stp>
        <tr r="U29" s="3"/>
      </tp>
    </main>
    <main first="bloomberg.rtd">
      <tp t="s">
        <v>25/01/2026</v>
        <stp/>
        <stp>##V3_BDPV12</stp>
        <stp>AS146490 Corp</stp>
        <stp>nxt_call_dt</stp>
        <stp>[hybrids_02.xlsx]sectorTable!R39C8</stp>
        <tr r="H39" s="3"/>
      </tp>
    </main>
    <main first="bofaddin.rtdserver">
      <tp t="e">
        <v>#N/A</v>
        <stp/>
        <stp>BDH|1589492102112813549</stp>
        <tr r="AA6" s="3"/>
      </tp>
      <tp t="e">
        <v>#N/A</v>
        <stp/>
        <stp>BDH|6519506670376475024</stp>
        <tr r="AA16" s="3"/>
      </tp>
      <tp t="e">
        <v>#N/A</v>
        <stp/>
        <stp>BDH|7190762383472119867</stp>
        <tr r="U24" s="5"/>
        <tr r="T25" s="5"/>
      </tp>
    </main>
    <main first="bloomberg.rtd">
      <tp t="s">
        <v>25/07/2023</v>
        <stp/>
        <stp>##V3_BDPV12</stp>
        <stp>AS146424 Corp</stp>
        <stp>nxt_call_dt</stp>
        <stp>[hybrids_02.xlsx]sectorTable!R39C7</stp>
        <tr r="G39" s="3"/>
      </tp>
    </main>
    <main first="bofaddin.rtdserver">
      <tp t="e">
        <v>#N/A</v>
        <stp/>
        <stp>BDH|2134745785636032906</stp>
        <tr r="U26" s="3"/>
      </tp>
    </main>
    <main first="bofaddin.rtdserver">
      <tp t="e">
        <v>#N/A</v>
        <stp/>
        <stp>BDH|4895200669156803487</stp>
        <tr r="V5" s="3"/>
      </tp>
    </main>
    <main first="bofaddin.rtdserver">
      <tp t="e">
        <v>#N/A</v>
        <stp/>
        <stp>BDH|1729387703114979416</stp>
        <tr r="U21" s="5"/>
        <tr r="T40" s="5"/>
        <tr r="T22" s="5"/>
      </tp>
      <tp t="e">
        <v>#N/A</v>
        <stp/>
        <stp>BDH|4093032637962020705</stp>
        <tr r="P69" s="5"/>
        <tr r="O70" s="5"/>
      </tp>
      <tp t="e">
        <v>#N/A</v>
        <stp/>
        <stp>BDH|3563273341477597020</stp>
        <tr r="U25" s="3"/>
      </tp>
    </main>
    <main first="bloomberg.rtd">
      <tp t="s">
        <v>01/06/2026</v>
        <stp/>
        <stp>##V3_BDPV12</stp>
        <stp>ZR441424 Corp</stp>
        <stp>nxt_call_dt</stp>
        <stp>[hybrids_02.xlsx]sectorTable!R18C8</stp>
        <tr r="H18" s="3"/>
      </tp>
    </main>
    <main first="bofaddin.rtdserver">
      <tp t="e">
        <v>#N/A</v>
        <stp/>
        <stp>BDH|9390526201379205772</stp>
        <tr r="Z12" s="3"/>
      </tp>
    </main>
    <main first="bloomberg.rtd">
      <tp>
        <v>189.65679310344825</v>
        <stp/>
        <stp>##V3_BDPV12</stp>
        <stp>XS2011260531 Corp</stp>
        <stp>interval_avg</stp>
        <stp>[hybrids_02.xlsx]sectorTable!R17C31</stp>
        <stp>calc_interval=30d</stp>
        <stp>market_data_override=sp210</stp>
        <tr r="AE17" s="3"/>
      </tp>
      <tp>
        <v>261.33381395348852</v>
        <stp/>
        <stp>##V3_BDPV12</stp>
        <stp>XS2011260531 Corp</stp>
        <stp>interval_avg</stp>
        <stp>[hybrids_02.xlsx]sectorTable!R17C32</stp>
        <stp>calc_interval=90d</stp>
        <stp>market_data_override=sp210</stp>
        <tr r="AF17" s="3"/>
      </tp>
      <tp t="s">
        <v>EUR</v>
        <stp/>
        <stp>##V3_BDPV12</stp>
        <stp>XS0968913342 Corp</stp>
        <stp>crncy</stp>
        <stp>[hybrids_02.xlsx]issuerTable!R7C5</stp>
        <tr r="E7" s="5"/>
      </tp>
      <tp>
        <v>223.173</v>
        <stp/>
        <stp>##V3_BDPV12</stp>
        <stp>XS1629658755 Corp</stp>
        <stp>interval_low</stp>
        <stp>[hybrids_02.xlsx]issuerTable!R4C17</stp>
        <stp>calc_interval=30d</stp>
        <stp>market_data_override=sp210</stp>
        <tr r="Q4" s="5"/>
      </tp>
    </main>
    <main first="bofaddin.rtdserver">
      <tp t="e">
        <v>#N/A</v>
        <stp/>
        <stp>BDH|1027483010353403464</stp>
        <tr r="V9" s="3"/>
      </tp>
    </main>
    <main first="bofaddin.rtdserver">
      <tp t="e">
        <v>#N/A</v>
        <stp/>
        <stp>BDH|7593322738700092446</stp>
        <tr r="U488" s="5"/>
        <tr r="U486" s="5"/>
        <tr r="AA7" s="3"/>
      </tp>
    </main>
    <main first="bofaddin.rtdserver">
      <tp t="e">
        <v>#N/A</v>
        <stp/>
        <stp>BDH|1634835859499419678</stp>
        <tr r="U13" s="3"/>
      </tp>
    </main>
    <main first="bofaddin.rtdserver">
      <tp t="e">
        <v>#N/A</v>
        <stp/>
        <stp>BDH|4973302376331531268</stp>
        <tr r="U264" s="5"/>
        <tr r="T265" s="5"/>
      </tp>
    </main>
    <main first="bofaddin.rtdserver">
      <tp t="e">
        <v>#N/A</v>
        <stp/>
        <stp>BDH|6398406475514988223</stp>
        <tr r="AA25" s="3"/>
      </tp>
    </main>
    <main first="bofaddin.rtdserver">
      <tp t="e">
        <v>#N/A</v>
        <stp/>
        <stp>BDH|4056632871674752277</stp>
        <tr r="V27" s="3"/>
      </tp>
      <tp t="e">
        <v>#N/A</v>
        <stp/>
        <stp>BDH|6725814050689610129</stp>
        <tr r="O421" s="5"/>
        <tr r="O418" s="5"/>
      </tp>
    </main>
    <main first="bofaddin.rtdserver">
      <tp t="e">
        <v>#N/A</v>
        <stp/>
        <stp>BDH|8432345229629137395</stp>
        <tr r="U162" s="5"/>
        <tr r="T163" s="5"/>
        <tr r="Z15" s="3"/>
      </tp>
      <tp t="e">
        <v>#N/A</v>
        <stp/>
        <stp>BDH|2364078290390030855</stp>
        <tr r="U17" s="3"/>
      </tp>
    </main>
    <main first="bofaddin.rtdserver">
      <tp t="e">
        <v>#N/A</v>
        <stp/>
        <stp>BDH|1244430739495469082</stp>
        <tr r="AA29" s="3"/>
      </tp>
    </main>
    <main first="bofaddin.rtdserver">
      <tp t="e">
        <v>#N/A</v>
        <stp/>
        <stp>BDH|6013208501805401207</stp>
        <tr r="P272" s="5"/>
        <tr r="P266" s="5"/>
      </tp>
    </main>
    <main first="bloomberg.rtd">
      <tp>
        <v>407.52499999999998</v>
        <stp/>
        <stp>##V3_BDPV12</stp>
        <stp>XS1629658755 Corp</stp>
        <stp>interval_high</stp>
        <stp>[hybrids_02.xlsx]issuerTable!R4C18</stp>
        <stp>calc_interval=30d</stp>
        <stp>market_data_override=sp210</stp>
        <tr r="R4" s="5"/>
      </tp>
      <tp>
        <v>336.66268965517241</v>
        <stp/>
        <stp>##V3_BDPV12</stp>
        <stp>XS0968913342 Corp</stp>
        <stp>interval_avg</stp>
        <stp>[hybrids_02.xlsx]issuerTable!R4C13</stp>
        <stp>calc_interval=30d</stp>
        <stp>market_data_override=sp210</stp>
        <tr r="M4" s="5"/>
      </tp>
    </main>
    <main first="bloomberg.rtd">
      <tp>
        <v>318.91951724137931</v>
        <stp/>
        <stp>##V3_BDPV12</stp>
        <stp>XS1795406658 Corp</stp>
        <stp>interval_avg</stp>
        <stp>[hybrids_02.xlsx]issuerTable!R69C25</stp>
        <stp>calc_interval=30d</stp>
        <stp>market_data_override=sp210</stp>
        <tr r="Y69" s="5"/>
      </tp>
      <tp>
        <v>383.4954827586206</v>
        <stp/>
        <stp>##V3_BDPV12</stp>
        <stp>XS1795406575 Corp</stp>
        <stp>interval_avg</stp>
        <stp>[hybrids_02.xlsx]issuerTable!R66C25</stp>
        <stp>calc_interval=30d</stp>
        <stp>market_data_override=sp210</stp>
        <tr r="Y66" s="5"/>
      </tp>
      <tp t="s">
        <v>BB</v>
        <stp/>
        <stp>##V3_BDPV12</stp>
        <stp>FR0013399177 Corp</stp>
        <stp>bb_composite</stp>
        <stp>[hybrids_02.xlsx]sectorTable!R7C15</stp>
        <tr r="O7" s="3"/>
      </tp>
      <tp>
        <v>386.96065517241374</v>
        <stp/>
        <stp>##V3_BDPV12</stp>
        <stp>XS1048428442 Corp</stp>
        <stp>interval_avg</stp>
        <stp>[hybrids_02.xlsx]issuerTable!R27C25</stp>
        <stp>calc_interval=30d</stp>
        <stp>market_data_override=sp210</stp>
        <tr r="Y27" s="5"/>
      </tp>
      <tp>
        <v>311.34055172413792</v>
        <stp/>
        <stp>##V3_BDPV12</stp>
        <stp>XS1048428012 Corp</stp>
        <stp>interval_avg</stp>
        <stp>[hybrids_02.xlsx]issuerTable!R21C25</stp>
        <stp>calc_interval=30d</stp>
        <stp>market_data_override=sp210</stp>
        <tr r="Y21" s="5"/>
      </tp>
      <tp t="s">
        <v>23/04/2027</v>
        <stp/>
        <stp>##V3_BDPV12</stp>
        <stp>EK864970 Corp</stp>
        <stp>nxt_call_dt</stp>
        <stp>[hybrids_02.xlsx]sectorTable!R31C8</stp>
        <tr r="H31" s="3"/>
      </tp>
      <tp t="s">
        <v>BBB-</v>
        <stp/>
        <stp>##V3_BDPV12</stp>
        <stp>XS1811181566 Corp</stp>
        <stp>bb_composite</stp>
        <stp>[hybrids_02.xlsx]sectorTable!R6C16</stp>
        <tr r="P6" s="3"/>
      </tp>
      <tp>
        <v>350.20865517241378</v>
        <stp/>
        <stp>##V3_BDPV12</stp>
        <stp>XS1629658755 Corp</stp>
        <stp>interval_avg</stp>
        <stp>[hybrids_02.xlsx]issuerTable!R23C25</stp>
        <stp>calc_interval=30d</stp>
        <stp>market_data_override=sp210</stp>
        <tr r="Y23" s="5"/>
      </tp>
      <tp t="s">
        <v>BB</v>
        <stp/>
        <stp>##V3_BDPV12</stp>
        <stp>FR0013457157 Corp</stp>
        <stp>bb_composite</stp>
        <stp>[hybrids_02.xlsx]sectorTable!R7C16</stp>
        <tr r="P7" s="3"/>
      </tp>
      <tp>
        <v>365.22262068965517</v>
        <stp/>
        <stp>##V3_BDPV12</stp>
        <stp>XS1933828433 Corp</stp>
        <stp>interval_avg</stp>
        <stp>[hybrids_02.xlsx]issuerTable!R68C25</stp>
        <stp>calc_interval=30d</stp>
        <stp>market_data_override=sp210</stp>
        <tr r="Y68" s="5"/>
      </tp>
      <tp>
        <v>291.15468965517238</v>
        <stp/>
        <stp>##V3_BDPV12</stp>
        <stp>FR0013425170 Corp</stp>
        <stp>interval_avg</stp>
        <stp>[hybrids_02.xlsx]sectorTable!R36C31</stp>
        <stp>calc_interval=30d</stp>
        <stp>market_data_override=sp210</stp>
        <tr r="AE36" s="3"/>
      </tp>
      <tp>
        <v>366.05867441860465</v>
        <stp/>
        <stp>##V3_BDPV12</stp>
        <stp>FR0013425170 Corp</stp>
        <stp>interval_avg</stp>
        <stp>[hybrids_02.xlsx]sectorTable!R36C32</stp>
        <stp>calc_interval=90d</stp>
        <stp>market_data_override=sp210</stp>
        <tr r="AF36" s="3"/>
      </tp>
      <tp>
        <v>351.58120689655163</v>
        <stp/>
        <stp>##V3_BDPV12</stp>
        <stp>XS2109819859 Corp</stp>
        <stp>interval_avg</stp>
        <stp>[hybrids_02.xlsx]issuerTable!R70C25</stp>
        <stp>calc_interval=30d</stp>
        <stp>market_data_override=sp210</stp>
        <tr r="Y70" s="5"/>
      </tp>
      <tp>
        <v>360.25931034482761</v>
        <stp/>
        <stp>##V3_BDPV12</stp>
        <stp>XS1490960942 Corp</stp>
        <stp>interval_avg</stp>
        <stp>[hybrids_02.xlsx]issuerTable!R64C25</stp>
        <stp>calc_interval=30d</stp>
        <stp>market_data_override=sp210</stp>
        <tr r="Y64" s="5"/>
      </tp>
      <tp>
        <v>372.17444827586201</v>
        <stp/>
        <stp>##V3_BDPV12</stp>
        <stp>FR0013367612 Corp</stp>
        <stp>interval_avg</stp>
        <stp>[hybrids_02.xlsx]sectorTable!R11C31</stp>
        <stp>calc_interval=30d</stp>
        <stp>market_data_override=sp210</stp>
        <tr r="AE11" s="3"/>
      </tp>
      <tp>
        <v>419.28681395348838</v>
        <stp/>
        <stp>##V3_BDPV12</stp>
        <stp>FR0013367612 Corp</stp>
        <stp>interval_avg</stp>
        <stp>[hybrids_02.xlsx]sectorTable!R11C32</stp>
        <stp>calc_interval=90d</stp>
        <stp>market_data_override=sp210</stp>
        <tr r="AF11" s="3"/>
      </tp>
      <tp t="s">
        <v>BB+</v>
        <stp/>
        <stp>##V3_BDPV12</stp>
        <stp>XS0992293901 Corp</stp>
        <stp>bb_composite</stp>
        <stp>[hybrids_02.xlsx]sectorTable!R4C15</stp>
        <tr r="O4" s="3"/>
      </tp>
      <tp t="s">
        <v>BB+</v>
        <stp/>
        <stp>##V3_BDPV12</stp>
        <stp>XS1207058733 Corp</stp>
        <stp>bb_composite</stp>
        <stp>[hybrids_02.xlsx]sectorTable!R8C15</stp>
        <tr r="O8" s="3"/>
      </tp>
      <tp>
        <v>406.04348275862071</v>
        <stp/>
        <stp>##V3_BDPV12</stp>
        <stp>XS1629774230 Corp</stp>
        <stp>interval_avg</stp>
        <stp>[hybrids_02.xlsx]issuerTable!R28C25</stp>
        <stp>calc_interval=30d</stp>
        <stp>market_data_override=sp210</stp>
        <tr r="Y28" s="5"/>
      </tp>
      <tp t="s">
        <v>18/11/2022</v>
        <stp/>
        <stp>##V3_BDPV12</stp>
        <stp>EK588292 Corp</stp>
        <stp>nxt_call_dt</stp>
        <stp>[hybrids_02.xlsx]sectorTable!R10C7</stp>
        <tr r="G10" s="3"/>
      </tp>
      <tp t="s">
        <v>23/04/2023</v>
        <stp/>
        <stp>##V3_BDPV12</stp>
        <stp>EK848378 Corp</stp>
        <stp>nxt_call_dt</stp>
        <stp>[hybrids_02.xlsx]sectorTable!R31C7</stp>
        <tr r="G31" s="3"/>
      </tp>
      <tp t="s">
        <v>04/04/2023</v>
        <stp/>
        <stp>##V3_BDPV12</stp>
        <stp>AM938782 Corp</stp>
        <stp>nxt_call_dt</stp>
        <stp>[hybrids_02.xlsx]sectorTable!R23C7</stp>
        <tr r="G23" s="3"/>
      </tp>
      <tp t="s">
        <v>22/03/2029</v>
        <stp/>
        <stp>##V3_BDPV12</stp>
        <stp>BK123260 Corp</stp>
        <stp>nxt_call_dt</stp>
        <stp>[hybrids_02.xlsx]sectorTable!R20C8</stp>
        <tr r="H20" s="3"/>
      </tp>
      <tp t="s">
        <v>22/03/2026</v>
        <stp/>
        <stp>##V3_BDPV12</stp>
        <stp>BK122273 Corp</stp>
        <stp>nxt_call_dt</stp>
        <stp>[hybrids_02.xlsx]sectorTable!R20C7</stp>
        <tr r="G20" s="3"/>
      </tp>
      <tp t="s">
        <v>30/03/2022</v>
        <stp/>
        <stp>##V3_BDPV12</stp>
        <stp>EK821917 Corp</stp>
        <stp>nxt_call_dt</stp>
        <stp>[hybrids_02.xlsx]sectorTable!R18C7</stp>
        <tr r="G18" s="3"/>
      </tp>
      <tp>
        <v>365.27851724137923</v>
        <stp/>
        <stp>##V3_BDPV12</stp>
        <stp>XS1050461034 Corp</stp>
        <stp>interval_avg</stp>
        <stp>[hybrids_02.xlsx]issuerTable!R67C25</stp>
        <stp>calc_interval=30d</stp>
        <stp>market_data_override=sp210</stp>
        <tr r="Y67" s="5"/>
      </tp>
      <tp t="s">
        <v>16/03/2027</v>
        <stp/>
        <stp>##V3_BDPV12</stp>
        <stp>BJ924355 Corp</stp>
        <stp>nxt_call_dt</stp>
        <stp>[hybrids_02.xlsx]sectorTable!R12C8</stp>
        <tr r="H12" s="3"/>
      </tp>
      <tp t="s">
        <v>01/07/2024</v>
        <stp/>
        <stp>##V3_BDPV12</stp>
        <stp>EK352403 Corp</stp>
        <stp>nxt_call_dt</stp>
        <stp>[hybrids_02.xlsx]sectorTable!R14C7</stp>
        <tr r="G14" s="3"/>
      </tp>
      <tp t="s">
        <v>26/06/2023</v>
        <stp/>
        <stp>##V3_BDPV12</stp>
        <stp>EJ723329 Corp</stp>
        <stp>nxt_call_dt</stp>
        <stp>[hybrids_02.xlsx]sectorTable!R22C7</stp>
        <tr r="G22" s="3"/>
      </tp>
      <tp>
        <v>336.66268965517241</v>
        <stp/>
        <stp>##V3_BDPV12</stp>
        <stp>XS0968913342 Corp</stp>
        <stp>interval_avg</stp>
        <stp>[hybrids_02.xlsx]issuerTable!R24C25</stp>
        <stp>calc_interval=30d</stp>
        <stp>market_data_override=sp210</stp>
        <tr r="Y24" s="5"/>
      </tp>
      <tp t="s">
        <v>24/04/2024</v>
        <stp/>
        <stp>##V3_BDPV12</stp>
        <stp>EK872764 Corp</stp>
        <stp>nxt_call_dt</stp>
        <stp>[hybrids_02.xlsx]sectorTable!R10C8</stp>
        <tr r="H10" s="3"/>
      </tp>
      <tp t="s">
        <v>14/12/2022</v>
        <stp/>
        <stp>##V3_BDPV12</stp>
        <stp>AN880322 Corp</stp>
        <stp>nxt_call_dt</stp>
        <stp>[hybrids_02.xlsx]sectorTable!R30C7</stp>
        <tr r="G30" s="3"/>
      </tp>
      <tp t="s">
        <v>20/03/2030</v>
        <stp/>
        <stp>##V3_BDPV12</stp>
        <stp>EK811579 Corp</stp>
        <stp>nxt_call_dt</stp>
        <stp>[hybrids_02.xlsx]sectorTable!R30C8</stp>
        <tr r="H30" s="3"/>
      </tp>
      <tp>
        <v>245.33724137931037</v>
        <stp/>
        <stp>##V3_BDPV12</stp>
        <stp>XS1731823255 Corp</stp>
        <stp>interval_avg</stp>
        <stp>[hybrids_02.xlsx]issuerTable!R65C25</stp>
        <stp>calc_interval=30d</stp>
        <stp>market_data_override=sp210</stp>
        <tr r="Y65" s="5"/>
      </tp>
      <tp>
        <v>338.57634482758624</v>
        <stp/>
        <stp>##V3_BDPV12</stp>
        <stp>XS1206540806 Corp</stp>
        <stp>interval_avg</stp>
        <stp>[hybrids_02.xlsx]issuerTable!R22C25</stp>
        <stp>calc_interval=30d</stp>
        <stp>market_data_override=sp210</stp>
        <tr r="Y22" s="5"/>
      </tp>
      <tp>
        <v>411.21410344827586</v>
        <stp/>
        <stp>##V3_BDPV12</stp>
        <stp>XS1799939027 Corp</stp>
        <stp>interval_avg</stp>
        <stp>[hybrids_02.xlsx]issuerTable!R29C25</stp>
        <stp>calc_interval=30d</stp>
        <stp>market_data_override=sp210</stp>
        <tr r="Y29" s="5"/>
      </tp>
      <tp t="s">
        <v>BBB-</v>
        <stp/>
        <stp>##V3_BDPV12</stp>
        <stp>XS1191320297 Corp</stp>
        <stp>bb_composite</stp>
        <stp>[hybrids_02.xlsx]sectorTable!R6C15</stp>
        <tr r="O6" s="3"/>
      </tp>
      <tp t="s">
        <v>BB+</v>
        <stp/>
        <stp>##V3_BDPV12</stp>
        <stp>XS1323897725 Corp</stp>
        <stp>bb_composite</stp>
        <stp>[hybrids_02.xlsx]sectorTable!R4C16</stp>
        <tr r="P4" s="3"/>
      </tp>
      <tp>
        <v>401.90826666666663</v>
        <stp/>
        <stp>##V3_BDPV12</stp>
        <stp>XS2187689034 Corp</stp>
        <stp>interval_avg</stp>
        <stp>[hybrids_02.xlsx]issuerTable!R26C25</stp>
        <stp>calc_interval=30d</stp>
        <stp>market_data_override=sp210</stp>
        <tr r="Y26" s="5"/>
      </tp>
      <tp>
        <v>426.46746666666661</v>
        <stp/>
        <stp>##V3_BDPV12</stp>
        <stp>XS2187689380 Corp</stp>
        <stp>interval_avg</stp>
        <stp>[hybrids_02.xlsx]issuerTable!R30C25</stp>
        <stp>calc_interval=30d</stp>
        <stp>market_data_override=sp210</stp>
        <tr r="Y30" s="5"/>
      </tp>
      <tp>
        <v>378.07834482758631</v>
        <stp/>
        <stp>##V3_BDPV12</stp>
        <stp>XS1799938995 Corp</stp>
        <stp>interval_avg</stp>
        <stp>[hybrids_02.xlsx]issuerTable!R25C25</stp>
        <stp>calc_interval=30d</stp>
        <stp>market_data_override=sp210</stp>
        <tr r="Y25" s="5"/>
      </tp>
      <tp>
        <v>641.6938620689657</v>
        <stp/>
        <stp>##V3_BDPV12</stp>
        <stp>AS146424 Corp</stp>
        <stp>interval_avg</stp>
        <stp>[hybrids_02.xlsx]sectorTable!R39C31</stp>
        <stp>calc_interval=30d</stp>
        <stp>market_data_override=sp210</stp>
        <tr r="AE39" s="3"/>
      </tp>
      <tp>
        <v>486.17848837209306</v>
        <stp/>
        <stp>##V3_BDPV12</stp>
        <stp>AR936992 Corp</stp>
        <stp>interval_avg</stp>
        <stp>[hybrids_02.xlsx]sectorTable!R16C32</stp>
        <stp>calc_interval=90d</stp>
        <stp>market_data_override=sp210</stp>
        <tr r="AF16" s="3"/>
      </tp>
      <tp>
        <v>654.38539534883751</v>
        <stp/>
        <stp>##V3_BDPV12</stp>
        <stp>AS146424 Corp</stp>
        <stp>interval_avg</stp>
        <stp>[hybrids_02.xlsx]sectorTable!R39C32</stp>
        <stp>calc_interval=90d</stp>
        <stp>market_data_override=sp210</stp>
        <tr r="AF39" s="3"/>
      </tp>
      <tp>
        <v>393.12413793103451</v>
        <stp/>
        <stp>##V3_BDPV12</stp>
        <stp>AR936992 Corp</stp>
        <stp>interval_avg</stp>
        <stp>[hybrids_02.xlsx]sectorTable!R16C31</stp>
        <stp>calc_interval=30d</stp>
        <stp>market_data_override=sp210</stp>
        <tr r="AE16" s="3"/>
      </tp>
      <tp>
        <v>373.79880232558145</v>
        <stp/>
        <stp>##V3_BDPV12</stp>
        <stp>EK352403 Corp</stp>
        <stp>interval_avg</stp>
        <stp>[hybrids_02.xlsx]sectorTable!R14C32</stp>
        <stp>calc_interval=90d</stp>
        <stp>market_data_override=sp210</stp>
        <tr r="AF14" s="3"/>
      </tp>
      <tp>
        <v>289.83020689655166</v>
        <stp/>
        <stp>##V3_BDPV12</stp>
        <stp>EK352403 Corp</stp>
        <stp>interval_avg</stp>
        <stp>[hybrids_02.xlsx]sectorTable!R14C31</stp>
        <stp>calc_interval=30d</stp>
        <stp>market_data_override=sp210</stp>
        <tr r="AE14" s="3"/>
      </tp>
    </main>
    <main first="bofaddin.rtdserver">
      <tp t="e">
        <v>#N/A</v>
        <stp/>
        <stp>BDH|912579024795689780</stp>
        <tr r="P103" s="5"/>
        <tr r="O104" s="5"/>
      </tp>
    </main>
    <main first="bloomberg.rtd">
      <tp t="s">
        <v>EUR</v>
        <stp/>
        <stp>##V3_BDPV12</stp>
        <stp>BJ814648 Corp</stp>
        <stp>crncy</stp>
        <stp>[hybrids_02.xlsx]sectorTable!R8C18</stp>
        <tr r="R8" s="3"/>
      </tp>
      <tp t="s">
        <v>EUR</v>
        <stp/>
        <stp>##V3_BDPV12</stp>
        <stp>FR0013447877 Corp</stp>
        <stp>crncy</stp>
        <stp>[hybrids_02.xlsx]issuerTable!R157C5</stp>
        <tr r="E157" s="5"/>
      </tp>
      <tp>
        <v>220.87402325581391</v>
        <stp/>
        <stp>##V3_BDPV12</stp>
        <stp>EJ723329 Corp</stp>
        <stp>interval_avg</stp>
        <stp>[hybrids_02.xlsx]sectorTable!R22C32</stp>
        <stp>calc_interval=90d</stp>
        <stp>market_data_override=sp210</stp>
        <tr r="AF22" s="3"/>
      </tp>
      <tp>
        <v>168.78186206896558</v>
        <stp/>
        <stp>##V3_BDPV12</stp>
        <stp>EJ723329 Corp</stp>
        <stp>interval_avg</stp>
        <stp>[hybrids_02.xlsx]sectorTable!R22C31</stp>
        <stp>calc_interval=30d</stp>
        <stp>market_data_override=sp210</stp>
        <tr r="AE22" s="3"/>
      </tp>
    </main>
    <main first="bofaddin.rtdserver">
      <tp t="e">
        <v>#N/A</v>
        <stp/>
        <stp>BDH|706960061072241966</stp>
        <tr r="U131" s="5"/>
        <tr r="T132" s="5"/>
      </tp>
    </main>
    <main first="bloomberg.rtd">
      <tp>
        <v>309.83810344827589</v>
        <stp/>
        <stp>##V3_BDPV12</stp>
        <stp>AU654481 Corp</stp>
        <stp>interval_avg</stp>
        <stp>[hybrids_02.xlsx]sectorTable!R35C31</stp>
        <stp>calc_interval=30d</stp>
        <stp>market_data_override=sp210</stp>
        <tr r="AE35" s="3"/>
      </tp>
      <tp>
        <v>368.6313255813954</v>
        <stp/>
        <stp>##V3_BDPV12</stp>
        <stp>AU654481 Corp</stp>
        <stp>interval_avg</stp>
        <stp>[hybrids_02.xlsx]sectorTable!R35C32</stp>
        <stp>calc_interval=90d</stp>
        <stp>market_data_override=sp210</stp>
        <tr r="AF35" s="3"/>
      </tp>
    </main>
    <main first="bofaddin.rtdserver">
      <tp t="e">
        <v>#N/A</v>
        <stp/>
        <stp>BDH|296131304671895753</stp>
        <tr r="P110" s="5"/>
        <tr r="P104" s="5"/>
        <tr r="O105" s="5"/>
      </tp>
    </main>
    <main first="bloomberg.rtd">
      <tp>
        <v>250.49975862068968</v>
        <stp/>
        <stp>##V3_BDPV12</stp>
        <stp>EK821917 Corp</stp>
        <stp>interval_avg</stp>
        <stp>[hybrids_02.xlsx]sectorTable!R18C31</stp>
        <stp>calc_interval=30d</stp>
        <stp>market_data_override=sp210</stp>
        <tr r="AE18" s="3"/>
      </tp>
      <tp>
        <v>305.67056976744186</v>
        <stp/>
        <stp>##V3_BDPV12</stp>
        <stp>EK821917 Corp</stp>
        <stp>interval_avg</stp>
        <stp>[hybrids_02.xlsx]sectorTable!R18C32</stp>
        <stp>calc_interval=90d</stp>
        <stp>market_data_override=sp210</stp>
        <tr r="AF18" s="3"/>
      </tp>
    </main>
    <main first="bofaddin.rtdserver">
      <tp t="e">
        <v>#N/A</v>
        <stp/>
        <stp>BDH|336818886207750188</stp>
        <tr r="Z20" s="3"/>
      </tp>
    </main>
    <main first="bofaddin.rtdserver">
      <tp t="e">
        <v>#N/A</v>
        <stp/>
        <stp>BDH|345375721893364436</stp>
        <tr r="P311" s="5"/>
        <tr r="O312" s="5"/>
      </tp>
    </main>
    <main first="bloomberg.rtd">
      <tp>
        <v>561.23071264648445</v>
        <stp/>
        <stp>##V3_BDPV12</stp>
        <stp>AS322477 Corp</stp>
        <stp>interval_avg</stp>
        <stp>[hybrids_02.xlsx]sectorTable!R25C31</stp>
        <stp>calc_interval=30d</stp>
        <stp>market_data_override=sp210</stp>
        <tr r="AE25" s="3"/>
      </tp>
      <tp>
        <v>642.43386642982239</v>
        <stp/>
        <stp>##V3_BDPV12</stp>
        <stp>AS322477 Corp</stp>
        <stp>interval_avg</stp>
        <stp>[hybrids_02.xlsx]sectorTable!R25C32</stp>
        <stp>calc_interval=90d</stp>
        <stp>market_data_override=sp210</stp>
        <tr r="AF25" s="3"/>
      </tp>
    </main>
    <main first="bloomberg.rtd">
      <tp t="s">
        <v>EUR</v>
        <stp/>
        <stp>##V3_BDPV12</stp>
        <stp>ZP454068 Corp</stp>
        <stp>crncy</stp>
        <stp>[hybrids_02.xlsx]sectorTable!R9C18</stp>
        <tr r="R9" s="3"/>
      </tp>
    </main>
    <main first="bloomberg.rtd">
      <tp t="s">
        <v>BB</v>
        <stp/>
        <stp>##V3_BDPV12</stp>
        <stp>LW253022 Corp</stp>
        <stp>bb_composite</stp>
        <stp>[hybrids_02.xlsx]sectorTable!R5C15</stp>
        <tr r="O5" s="3"/>
      </tp>
      <tp>
        <v>436.2765116279067</v>
        <stp/>
        <stp>##V3_BDPV12</stp>
        <stp>AN880322 Corp</stp>
        <stp>interval_avg</stp>
        <stp>[hybrids_02.xlsx]sectorTable!R30C32</stp>
        <stp>calc_interval=90d</stp>
        <stp>market_data_override=sp210</stp>
        <tr r="AF30" s="3"/>
      </tp>
      <tp>
        <v>350.20865517241378</v>
        <stp/>
        <stp>##V3_BDPV12</stp>
        <stp>AN880322 Corp</stp>
        <stp>interval_avg</stp>
        <stp>[hybrids_02.xlsx]sectorTable!R30C31</stp>
        <stp>calc_interval=30d</stp>
        <stp>market_data_override=sp210</stp>
        <tr r="AE30" s="3"/>
      </tp>
    </main>
    <main first="bofaddin.rtdserver">
      <tp t="e">
        <v>#N/A</v>
        <stp/>
        <stp>BDH|592921795930787358</stp>
        <tr r="Z19" s="3"/>
      </tp>
      <tp t="e">
        <v>#N/A</v>
        <stp/>
        <stp>BDH|438022000115446622</stp>
        <tr r="U418" s="5"/>
        <tr r="T419" s="5"/>
        <tr r="Z32" s="3"/>
      </tp>
    </main>
    <main first="bofaddin.rtdserver">
      <tp t="e">
        <v>#N/A</v>
        <stp/>
        <stp>BDH|716223667027262039</stp>
        <tr r="U163" s="5"/>
        <tr r="T172" s="5"/>
        <tr r="T164" s="5"/>
      </tp>
    </main>
    <main first="bloomberg.rtd">
      <tp t="s">
        <v>BB</v>
        <stp/>
        <stp>##V3_BDPV12</stp>
        <stp>AL211915 Corp</stp>
        <stp>bb_composite</stp>
        <stp>[hybrids_02.xlsx]sectorTable!R5C16</stp>
        <tr r="P5" s="3"/>
      </tp>
      <tp t="s">
        <v>EUR</v>
        <stp/>
        <stp>##V3_BDPV12</stp>
        <stp>FR0013413887 Corp</stp>
        <stp>crncy</stp>
        <stp>[hybrids_02.xlsx]issuerTable!R155C5</stp>
        <tr r="E155" s="5"/>
      </tp>
      <tp>
        <v>256.64172413793108</v>
        <stp/>
        <stp>##V3_BDPV12</stp>
        <stp>AQ711148 Corp</stp>
        <stp>interval_avg</stp>
        <stp>[hybrids_02.xlsx]sectorTable!R37C31</stp>
        <stp>calc_interval=30d</stp>
        <stp>market_data_override=sp210</stp>
        <tr r="AE37" s="3"/>
      </tp>
      <tp>
        <v>272.54859302325588</v>
        <stp/>
        <stp>##V3_BDPV12</stp>
        <stp>AQ711148 Corp</stp>
        <stp>interval_avg</stp>
        <stp>[hybrids_02.xlsx]sectorTable!R37C32</stp>
        <stp>calc_interval=90d</stp>
        <stp>market_data_override=sp210</stp>
        <tr r="AF37" s="3"/>
      </tp>
      <tp>
        <v>347.1272222222222</v>
        <stp/>
        <stp>##V3_BDPV12</stp>
        <stp>BK122273 Corp</stp>
        <stp>interval_avg</stp>
        <stp>[hybrids_02.xlsx]sectorTable!R20C32</stp>
        <stp>calc_interval=90d</stp>
        <stp>market_data_override=sp210</stp>
        <tr r="AF20" s="3"/>
      </tp>
      <tp>
        <v>347.1272222222222</v>
        <stp/>
        <stp>##V3_BDPV12</stp>
        <stp>BK122273 Corp</stp>
        <stp>interval_avg</stp>
        <stp>[hybrids_02.xlsx]sectorTable!R20C31</stp>
        <stp>calc_interval=30d</stp>
        <stp>market_data_override=sp210</stp>
        <tr r="AE20" s="3"/>
      </tp>
    </main>
    <main first="bofaddin.rtdserver">
      <tp t="e">
        <v>#N/A</v>
        <stp/>
        <stp>BDH|864936245337204848</stp>
        <tr r="U69" s="5"/>
        <tr r="T70" s="5"/>
      </tp>
    </main>
    <main first="bofaddin.rtdserver">
      <tp t="e">
        <v>#N/A</v>
        <stp/>
        <stp>BDH|576511263795087412</stp>
        <tr r="U242" s="5"/>
        <tr r="T243" s="5"/>
      </tp>
    </main>
    <main first="bofaddin.rtdserver">
      <tp t="e">
        <v>#N/A</v>
        <stp/>
        <stp>BDH|790352903117806693</stp>
        <tr r="O319" s="5"/>
        <tr r="O311" s="5"/>
      </tp>
    </main>
    <main first="bloomberg.rtd">
      <tp t="s">
        <v>BB</v>
        <stp/>
        <stp>##V3_BDPV12</stp>
        <stp>ZP454068 Corp</stp>
        <stp>bb_composite</stp>
        <stp>[hybrids_02.xlsx]sectorTable!R9C16</stp>
        <tr r="P9" s="3"/>
      </tp>
    </main>
    <main first="bofaddin.rtdserver">
      <tp t="e">
        <v>#N/A</v>
        <stp/>
        <stp>BDH|691045874753744991</stp>
        <tr r="AA12" s="3"/>
      </tp>
    </main>
    <main first="bofaddin.rtdserver">
      <tp t="e">
        <v>#N/A</v>
        <stp/>
        <stp>BDH|737167496653367659</stp>
        <tr r="U296" s="5"/>
        <tr r="U290" s="5"/>
        <tr r="AA17" s="3"/>
      </tp>
    </main>
    <main first="bofaddin.rtdserver">
      <tp t="e">
        <v>#N/A</v>
        <stp/>
        <stp>BDH|717288469121653950</stp>
        <tr r="P26" s="5"/>
        <tr r="O43" s="5"/>
        <tr r="O27" s="5"/>
      </tp>
    </main>
    <main first="bloomberg.rtd">
      <tp t="s">
        <v>BB+</v>
        <stp/>
        <stp>##V3_BDPV12</stp>
        <stp>BJ814648 Corp</stp>
        <stp>bb_composite</stp>
        <stp>[hybrids_02.xlsx]sectorTable!R8C16</stp>
        <tr r="P8" s="3"/>
      </tp>
      <tp>
        <v>303.3125454545455</v>
        <stp/>
        <stp>##V3_BDPV12</stp>
        <stp>QJ937853 Corp</stp>
        <stp>PX388</stp>
        <stp>[hybrids_02.xlsx]sectorTable!R44C34</stp>
        <stp>PX395=BLP_I_SPRD_MID</stp>
        <stp>DY262=D</stp>
        <stp>PY204=N</stp>
        <stp>PX393=1M</stp>
        <tr r="AH44" s="3"/>
      </tp>
      <tp>
        <v>368.18001162790699</v>
        <stp/>
        <stp>##V3_BDPV12</stp>
        <stp>EK588292 Corp</stp>
        <stp>interval_avg</stp>
        <stp>[hybrids_02.xlsx]sectorTable!R10C32</stp>
        <stp>calc_interval=90d</stp>
        <stp>market_data_override=sp210</stp>
        <tr r="AF10" s="3"/>
      </tp>
      <tp>
        <v>414.56508139534901</v>
        <stp/>
        <stp>##V3_BDPV12</stp>
        <stp>EK848378 Corp</stp>
        <stp>interval_avg</stp>
        <stp>[hybrids_02.xlsx]sectorTable!R31C32</stp>
        <stp>calc_interval=90d</stp>
        <stp>market_data_override=sp210</stp>
        <tr r="AF31" s="3"/>
      </tp>
      <tp>
        <v>321.42910344827601</v>
        <stp/>
        <stp>##V3_BDPV12</stp>
        <stp>EK588292 Corp</stp>
        <stp>interval_avg</stp>
        <stp>[hybrids_02.xlsx]sectorTable!R10C31</stp>
        <stp>calc_interval=30d</stp>
        <stp>market_data_override=sp210</stp>
        <tr r="AE10" s="3"/>
      </tp>
      <tp>
        <v>379.17717241379313</v>
        <stp/>
        <stp>##V3_BDPV12</stp>
        <stp>EK848378 Corp</stp>
        <stp>interval_avg</stp>
        <stp>[hybrids_02.xlsx]sectorTable!R31C31</stp>
        <stp>calc_interval=30d</stp>
        <stp>market_data_override=sp210</stp>
        <tr r="AE31" s="3"/>
      </tp>
    </main>
    <main first="bloomberg.rtd">
      <tp t="s">
        <v>BB</v>
        <stp/>
        <stp>##V3_BDPV12</stp>
        <stp>AW875570 Corp</stp>
        <stp>bb_composite</stp>
        <stp>[hybrids_02.xlsx]sectorTable!R9C15</stp>
        <tr r="O9" s="3"/>
      </tp>
    </main>
    <main first="bloomberg.rtd">
      <tp t="s">
        <v>EUR</v>
        <stp/>
        <stp>##V3_BDPV12</stp>
        <stp>AL211915 Corp</stp>
        <stp>crncy</stp>
        <stp>[hybrids_02.xlsx]sectorTable!R5C18</stp>
        <tr r="R5" s="3"/>
      </tp>
      <tp>
        <v>618.41333230345288</v>
        <stp/>
        <stp>##V3_BDPV12</stp>
        <stp>LW253022 Corp</stp>
        <stp>interval_avg</stp>
        <stp>[hybrids_02.xlsx]sectorTable!R5C32</stp>
        <stp>calc_interval=90d</stp>
        <stp>market_data_override=sp210</stp>
        <tr r="AF5" s="3"/>
      </tp>
      <tp>
        <v>287.49424137931038</v>
        <stp/>
        <stp>##V3_BDPV12</stp>
        <stp>AW875570 Corp</stp>
        <stp>interval_avg</stp>
        <stp>[hybrids_02.xlsx]sectorTable!R9C31</stp>
        <stp>calc_interval=30d</stp>
        <stp>market_data_override=sp210</stp>
        <tr r="AE9" s="3"/>
      </tp>
      <tp>
        <v>398.43099701334637</v>
        <stp/>
        <stp>##V3_BDPV12</stp>
        <stp>LW253022 Corp</stp>
        <stp>interval_avg</stp>
        <stp>[hybrids_02.xlsx]sectorTable!R5C31</stp>
        <stp>calc_interval=30d</stp>
        <stp>market_data_override=sp210</stp>
        <tr r="AE5" s="3"/>
      </tp>
      <tp>
        <v>337.17411627906972</v>
        <stp/>
        <stp>##V3_BDPV12</stp>
        <stp>AW875570 Corp</stp>
        <stp>interval_avg</stp>
        <stp>[hybrids_02.xlsx]sectorTable!R9C32</stp>
        <stp>calc_interval=90d</stp>
        <stp>market_data_override=sp210</stp>
        <tr r="AF9" s="3"/>
      </tp>
      <tp>
        <v>383.4954827586206</v>
        <stp/>
        <stp>##V3_BDPV12</stp>
        <stp>AR738776 Corp</stp>
        <stp>interval_avg</stp>
        <stp>[hybrids_02.xlsx]sectorTable!R34C31</stp>
        <stp>calc_interval=30d</stp>
        <stp>market_data_override=sp210</stp>
        <tr r="AE34" s="3"/>
      </tp>
      <tp>
        <v>433.36062790697667</v>
        <stp/>
        <stp>##V3_BDPV12</stp>
        <stp>AR738776 Corp</stp>
        <stp>interval_avg</stp>
        <stp>[hybrids_02.xlsx]sectorTable!R34C32</stp>
        <stp>calc_interval=90d</stp>
        <stp>market_data_override=sp210</stp>
        <tr r="AF34" s="3"/>
      </tp>
      <tp>
        <v>283.89934883720923</v>
        <stp/>
        <stp>##V3_BDPV12</stp>
        <stp>AM938782 Corp</stp>
        <stp>interval_avg</stp>
        <stp>[hybrids_02.xlsx]sectorTable!R23C32</stp>
        <stp>calc_interval=90d</stp>
        <stp>market_data_override=sp210</stp>
        <tr r="AF23" s="3"/>
      </tp>
      <tp>
        <v>229.83137931034489</v>
        <stp/>
        <stp>##V3_BDPV12</stp>
        <stp>AM938782 Corp</stp>
        <stp>interval_avg</stp>
        <stp>[hybrids_02.xlsx]sectorTable!R23C31</stp>
        <stp>calc_interval=30d</stp>
        <stp>market_data_override=sp210</stp>
        <tr r="AE23" s="3"/>
      </tp>
    </main>
    <main first="bloomberg.rtd">
      <tp t="s">
        <v>EUR</v>
        <stp/>
        <stp>##V3_BDPV12</stp>
        <stp>AW875570 Corp</stp>
        <stp>crncy</stp>
        <stp>[hybrids_02.xlsx]sectorTable!R9C17</stp>
        <tr r="Q9" s="3"/>
      </tp>
      <tp t="s">
        <v>EUR</v>
        <stp/>
        <stp>##V3_BDPV12</stp>
        <stp>LW253022 Corp</stp>
        <stp>crncy</stp>
        <stp>[hybrids_02.xlsx]sectorTable!R5C17</stp>
        <tr r="Q5" s="3"/>
      </tp>
    </main>
    <main first="bloomberg.rtd">
      <tp t="s">
        <v>18/09/2024</v>
        <stp/>
        <stp>##V3_BDPV12</stp>
        <stp>XS2011260531 Corp</stp>
        <stp>nxt_call_dt</stp>
        <stp>[hybrids_02.xlsx]sectorTable!R17C7</stp>
        <tr r="G17" s="3"/>
      </tp>
      <tp t="s">
        <v>ACFP 4 3/8 PERP</v>
        <stp/>
        <stp>##V3_BDPV12</stp>
        <stp>FR0013399177 Corp</stp>
        <stp>security_name</stp>
        <stp>[hybrids_02.xlsx]sectorTable!R7C5</stp>
        <tr r="E7" s="3"/>
      </tp>
      <tp t="s">
        <v>EUR</v>
        <stp/>
        <stp>##V3_BDPV12</stp>
        <stp>XS1028599287 Corp</stp>
        <stp>crncy</stp>
        <stp>[hybrids_02.xlsx]issuerTable!R154C5</stp>
        <tr r="E154" s="5"/>
      </tp>
      <tp t="s">
        <v>EUR</v>
        <stp/>
        <stp>##V3_BDPV12</stp>
        <stp>XS1115498260 Corp</stp>
        <stp>crncy</stp>
        <stp>[hybrids_02.xlsx]issuerTable!R156C5</stp>
        <tr r="E156" s="5"/>
      </tp>
      <tp t="s">
        <v>01/10/2026</v>
        <stp/>
        <stp>##V3_BDPV12</stp>
        <stp>XS1115498260 Corp</stp>
        <stp>nxt_call_dt</stp>
        <stp>[hybrids_02.xlsx]sectorTable!R15C8</stp>
        <tr r="H15" s="3"/>
      </tp>
      <tp t="s">
        <v>25/03/2029</v>
        <stp/>
        <stp>##V3_BDPV12</stp>
        <stp>XS2011260705 Corp</stp>
        <stp>nxt_call_dt</stp>
        <stp>[hybrids_02.xlsx]sectorTable!R17C8</stp>
        <tr r="H17" s="3"/>
      </tp>
      <tp t="s">
        <v>22/01/2026</v>
        <stp/>
        <stp>##V3_BDPV12</stp>
        <stp>FR0011697028 Corp</stp>
        <stp>nxt_call_dt</stp>
        <stp>[hybrids_02.xlsx]sectorTable!R11C8</stp>
        <tr r="H11" s="3"/>
      </tp>
      <tp t="s">
        <v>22/02/2023</v>
        <stp/>
        <stp>##V3_BDPV12</stp>
        <stp>XS1721244371 Corp</stp>
        <stp>nxt_call_dt</stp>
        <stp>[hybrids_02.xlsx]sectorTable!R33C7</stp>
        <tr r="G33" s="3"/>
      </tp>
      <tp t="s">
        <v>06/10/2026</v>
        <stp/>
        <stp>##V3_BDPV12</stp>
        <stp>XS1501166869 Corp</stp>
        <stp>nxt_call_dt</stp>
        <stp>[hybrids_02.xlsx]sectorTable!R28C8</stp>
        <tr r="H28" s="3"/>
      </tp>
      <tp t="s">
        <v>21/04/2025</v>
        <stp/>
        <stp>##V3_BDPV12</stp>
        <stp>XS1219499032 Corp</stp>
        <stp>nxt_call_dt</stp>
        <stp>[hybrids_02.xlsx]sectorTable!R38C8</stp>
        <tr r="H38" s="3"/>
      </tp>
      <tp>
        <v>74.95810344827585</v>
        <stp/>
        <stp>##V3_BDPV12</stp>
        <stp>UV391246 Corp</stp>
        <stp>interval_avg</stp>
        <stp>[hybrids_02.xlsx]sectorTable!R12C31</stp>
        <stp>calc_interval=30d</stp>
        <stp>market_data_override=sp210</stp>
        <tr r="AE12" s="3"/>
      </tp>
      <tp>
        <v>202.65660465116289</v>
        <stp/>
        <stp>##V3_BDPV12</stp>
        <stp>UV391246 Corp</stp>
        <stp>interval_avg</stp>
        <stp>[hybrids_02.xlsx]sectorTable!R12C32</stp>
        <stp>calc_interval=90d</stp>
        <stp>market_data_override=sp210</stp>
        <tr r="AF12" s="3"/>
      </tp>
      <tp t="s">
        <v>21/10/2020</v>
        <stp/>
        <stp>##V3_BDPV12</stp>
        <stp>XS1219498141 Corp</stp>
        <stp>nxt_call_dt</stp>
        <stp>[hybrids_02.xlsx]sectorTable!R38C7</stp>
        <tr r="G38" s="3"/>
      </tp>
      <tp t="s">
        <v>12/08/2027</v>
        <stp/>
        <stp>##V3_BDPV12</stp>
        <stp>XS2077670342 Corp</stp>
        <stp>nxt_call_dt</stp>
        <stp>[hybrids_02.xlsx]sectorTable!R14C8</stp>
        <tr r="H14" s="3"/>
      </tp>
      <tp t="s">
        <v>GYCGR 2 1/2 PERP</v>
        <stp/>
        <stp>##V3_BDPV12</stp>
        <stp>XS1811181566 Corp</stp>
        <stp>security_name</stp>
        <stp>[hybrids_02.xlsx]sectorTable!R6C6</stp>
        <tr r="F6" s="3"/>
      </tp>
      <tp>
        <v>181.91365517241383</v>
        <stp/>
        <stp>##V3_BDPV12</stp>
        <stp>ZQ099270 Corp</stp>
        <stp>interval_avg</stp>
        <stp>[hybrids_02.xlsx]sectorTable!R29C31</stp>
        <stp>calc_interval=30d</stp>
        <stp>market_data_override=sp210</stp>
        <tr r="AE29" s="3"/>
      </tp>
      <tp>
        <v>183.7686976744186</v>
        <stp/>
        <stp>##V3_BDPV12</stp>
        <stp>ZQ099270 Corp</stp>
        <stp>interval_avg</stp>
        <stp>[hybrids_02.xlsx]sectorTable!R29C32</stp>
        <stp>calc_interval=90d</stp>
        <stp>market_data_override=sp210</stp>
        <tr r="AF29" s="3"/>
      </tp>
      <tp t="s">
        <v>05/05/2027</v>
        <stp/>
        <stp>##V3_BDPV12</stp>
        <stp>XS2035564629 Corp</stp>
        <stp>nxt_call_dt</stp>
        <stp>[hybrids_02.xlsx]sectorTable!R24C8</stp>
        <tr r="H24" s="3"/>
      </tp>
      <tp t="s">
        <v>24/08/2023</v>
        <stp/>
        <stp>##V3_BDPV12</stp>
        <stp>XS1713463716 Corp</stp>
        <stp>nxt_call_dt</stp>
        <stp>[hybrids_02.xlsx]sectorTable!R13C7</stp>
        <tr r="G13" s="3"/>
      </tp>
      <tp t="s">
        <v>21/10/2025</v>
        <stp/>
        <stp>##V3_BDPV12</stp>
        <stp>FR0013478252 Corp</stp>
        <stp>nxt_call_dt</stp>
        <stp>[hybrids_02.xlsx]sectorTable!R36C8</stp>
        <tr r="H36" s="3"/>
      </tp>
      <tp t="s">
        <v>ACFP 2 5/8 PERP</v>
        <stp/>
        <stp>##V3_BDPV12</stp>
        <stp>FR0013457157 Corp</stp>
        <stp>security_name</stp>
        <stp>[hybrids_02.xlsx]sectorTable!R7C6</stp>
        <tr r="F7" s="3"/>
      </tp>
      <tp t="s">
        <v>SOLBBB 5.425 PERP</v>
        <stp/>
        <stp>##V3_BDPV12</stp>
        <stp>XS0992293901 Corp</stp>
        <stp>security_name</stp>
        <stp>[hybrids_02.xlsx]sectorTable!R4C5</stp>
        <tr r="E4" s="3"/>
      </tp>
      <tp t="s">
        <v>09/12/2025</v>
        <stp/>
        <stp>##V3_BDPV12</stp>
        <stp>XS1294343337 Corp</stp>
        <stp>nxt_call_dt</stp>
        <stp>[hybrids_02.xlsx]sectorTable!R32C8</stp>
        <tr r="H32" s="3"/>
      </tp>
      <tp t="s">
        <v>24/08/2026</v>
        <stp/>
        <stp>##V3_BDPV12</stp>
        <stp>XS1713463559 Corp</stp>
        <stp>nxt_call_dt</stp>
        <stp>[hybrids_02.xlsx]sectorTable!R13C8</stp>
        <tr r="H13" s="3"/>
      </tp>
      <tp t="s">
        <v>17/06/2024</v>
        <stp/>
        <stp>##V3_BDPV12</stp>
        <stp>FR0013425170 Corp</stp>
        <stp>nxt_call_dt</stp>
        <stp>[hybrids_02.xlsx]sectorTable!R36C7</stp>
        <tr r="G36" s="3"/>
      </tp>
      <tp t="s">
        <v>04/07/2024</v>
        <stp/>
        <stp>##V3_BDPV12</stp>
        <stp>FR0013367612 Corp</stp>
        <stp>nxt_call_dt</stp>
        <stp>[hybrids_02.xlsx]sectorTable!R11C7</stp>
        <tr r="G11" s="3"/>
      </tp>
      <tp t="s">
        <v>19/03/2024</v>
        <stp/>
        <stp>##V3_BDPV12</stp>
        <stp>XS1713462403 Corp</stp>
        <stp>nxt_call_dt</stp>
        <stp>[hybrids_02.xlsx]sectorTable!R32C7</stp>
        <tr r="G32" s="3"/>
      </tp>
      <tp>
        <v>542.83772413793099</v>
        <stp/>
        <stp>##V3_BDPV12</stp>
        <stp>ZS235422 Corp</stp>
        <stp>interval_avg</stp>
        <stp>[hybrids_02.xlsx]sectorTable!R21C31</stp>
        <stp>calc_interval=30d</stp>
        <stp>market_data_override=sp210</stp>
        <tr r="AE21" s="3"/>
      </tp>
      <tp>
        <v>585.28409523809535</v>
        <stp/>
        <stp>##V3_BDPV12</stp>
        <stp>ZS235422 Corp</stp>
        <stp>interval_avg</stp>
        <stp>[hybrids_02.xlsx]sectorTable!R21C32</stp>
        <stp>calc_interval=90d</stp>
        <stp>market_data_override=sp210</stp>
        <tr r="AF21" s="3"/>
      </tp>
      <tp t="s">
        <v>12/11/2024</v>
        <stp/>
        <stp>##V3_BDPV12</stp>
        <stp>XS1890845875 Corp</stp>
        <stp>nxt_call_dt</stp>
        <stp>[hybrids_02.xlsx]sectorTable!R33C8</stp>
        <tr r="H33" s="3"/>
      </tp>
      <tp t="s">
        <v>EUR</v>
        <stp/>
        <stp>##V3_BDPV12</stp>
        <stp>XS1044811591 Corp</stp>
        <stp>crncy</stp>
        <stp>[hybrids_02.xlsx]issuerTable!R122C5</stp>
        <tr r="E122" s="5"/>
      </tp>
      <tp t="s">
        <v>REPSM 4 1/2 03/25/75</v>
        <stp/>
        <stp>##V3_BDPV12</stp>
        <stp>XS1207058733 Corp</stp>
        <stp>security_name</stp>
        <stp>[hybrids_02.xlsx]sectorTable!R8C5</stp>
        <tr r="E8" s="3"/>
      </tp>
      <tp>
        <v>451.91256112467437</v>
        <stp/>
        <stp>##V3_BDPV12</stp>
        <stp>ZR457518 Corp</stp>
        <stp>interval_avg</stp>
        <stp>[hybrids_02.xlsx]sectorTable!R26C31</stp>
        <stp>calc_interval=30d</stp>
        <stp>market_data_override=sp210</stp>
        <tr r="AE26" s="3"/>
      </tp>
      <tp>
        <v>516.13452811735249</v>
        <stp/>
        <stp>##V3_BDPV12</stp>
        <stp>ZR457518 Corp</stp>
        <stp>interval_avg</stp>
        <stp>[hybrids_02.xlsx]sectorTable!R26C32</stp>
        <stp>calc_interval=90d</stp>
        <stp>market_data_override=sp210</stp>
        <tr r="AF26" s="3"/>
      </tp>
      <tp t="s">
        <v>EUR</v>
        <stp/>
        <stp>##V3_BDPV12</stp>
        <stp>XS2196328608 Corp</stp>
        <stp>crncy</stp>
        <stp>[hybrids_02.xlsx]issuerTable!R125C5</stp>
        <tr r="E125" s="5"/>
      </tp>
      <tp t="s">
        <v>EUR</v>
        <stp/>
        <stp>##V3_BDPV12</stp>
        <stp>XS1044811591 Corp</stp>
        <stp>crncy</stp>
        <stp>[hybrids_02.xlsx]issuerTable!R121C5</stp>
        <tr r="E121" s="5"/>
      </tp>
      <tp>
        <v>362.98131034482753</v>
        <stp/>
        <stp>##V3_BDPV12</stp>
        <stp>ZR796682 Corp</stp>
        <stp>interval_avg</stp>
        <stp>[hybrids_02.xlsx]sectorTable!R27C31</stp>
        <stp>calc_interval=30d</stp>
        <stp>market_data_override=sp210</stp>
        <tr r="AE27" s="3"/>
      </tp>
      <tp>
        <v>417.73686046511619</v>
        <stp/>
        <stp>##V3_BDPV12</stp>
        <stp>ZR796682 Corp</stp>
        <stp>interval_avg</stp>
        <stp>[hybrids_02.xlsx]sectorTable!R27C32</stp>
        <stp>calc_interval=90d</stp>
        <stp>market_data_override=sp210</stp>
        <tr r="AF27" s="3"/>
      </tp>
      <tp t="s">
        <v>05/08/2024</v>
        <stp/>
        <stp>##V3_BDPV12</stp>
        <stp>XS2035564975 Corp</stp>
        <stp>nxt_call_dt</stp>
        <stp>[hybrids_02.xlsx]sectorTable!R24C7</stp>
        <tr r="G24" s="3"/>
      </tp>
      <tp t="s">
        <v>05/05/2023</v>
        <stp/>
        <stp>##V3_BDPV12</stp>
        <stp>XS1501167164 Corp</stp>
        <stp>nxt_call_dt</stp>
        <stp>[hybrids_02.xlsx]sectorTable!R28C7</stp>
        <tr r="G28" s="3"/>
      </tp>
      <tp t="s">
        <v>EUR</v>
        <stp/>
        <stp>##V3_BDPV12</stp>
        <stp>XS1115490523 Corp</stp>
        <stp>crncy</stp>
        <stp>[hybrids_02.xlsx]issuerTable!R153C5</stp>
        <tr r="E153" s="5"/>
      </tp>
      <tp t="s">
        <v>07/02/2024</v>
        <stp/>
        <stp>##V3_BDPV12</stp>
        <stp>XS1028599287 Corp</stp>
        <stp>nxt_call_dt</stp>
        <stp>[hybrids_02.xlsx]sectorTable!R15C7</stp>
        <tr r="G15" s="3"/>
      </tp>
      <tp t="s">
        <v>SOLBBB 5.869 PERP</v>
        <stp/>
        <stp>##V3_BDPV12</stp>
        <stp>XS1323897725 Corp</stp>
        <stp>security_name</stp>
        <stp>[hybrids_02.xlsx]sectorTable!R4C6</stp>
        <tr r="F4" s="3"/>
      </tp>
      <tp t="s">
        <v>EUR</v>
        <stp/>
        <stp>##V3_BDPV12</stp>
        <stp>XS2035564975 Corp</stp>
        <stp>crncy</stp>
        <stp>[hybrids_02.xlsx]issuerTable!R124C5</stp>
        <tr r="E124" s="5"/>
      </tp>
      <tp t="s">
        <v>EUR</v>
        <stp/>
        <stp>##V3_BDPV12</stp>
        <stp>XS1405770907 Corp</stp>
        <stp>crncy</stp>
        <stp>[hybrids_02.xlsx]issuerTable!R123C5</stp>
        <tr r="E123" s="5"/>
      </tp>
      <tp>
        <v>289.29343023255808</v>
        <stp/>
        <stp>##V3_BDPV12</stp>
        <stp>ZR363806 Corp</stp>
        <stp>interval_avg</stp>
        <stp>[hybrids_02.xlsx]sectorTable!R19C32</stp>
        <stp>calc_interval=90d</stp>
        <stp>market_data_override=sp210</stp>
        <tr r="AF19" s="3"/>
      </tp>
      <tp>
        <v>214.22858620689658</v>
        <stp/>
        <stp>##V3_BDPV12</stp>
        <stp>ZR363806 Corp</stp>
        <stp>interval_avg</stp>
        <stp>[hybrids_02.xlsx]sectorTable!R19C31</stp>
        <stp>calc_interval=30d</stp>
        <stp>market_data_override=sp210</stp>
        <tr r="AE19" s="3"/>
      </tp>
      <tp t="s">
        <v>GYCGR 3 3/4 PERP</v>
        <stp/>
        <stp>##V3_BDPV12</stp>
        <stp>XS1191320297 Corp</stp>
        <stp>security_name</stp>
        <stp>[hybrids_02.xlsx]sectorTable!R6C5</stp>
        <tr r="E6" s="3"/>
      </tp>
      <tp t="s">
        <v>EUR</v>
        <stp/>
        <stp>##V3_BDPV12</stp>
        <stp>XS2035564629 Corp</stp>
        <stp>crncy</stp>
        <stp>[hybrids_02.xlsx]issuerTable!R126C5</stp>
        <tr r="E126" s="5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volatileDependencies" Target="volatileDependenci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strRef>
          <c:f>issuerTable!$C$2</c:f>
          <c:strCache>
            <c:ptCount val="1"/>
            <c:pt idx="0">
              <c:v>vw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7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098248912915736"/>
          <c:y val="3.3768219005633517E-2"/>
          <c:w val="0.85801504289575747"/>
          <c:h val="0.74802469511548397"/>
        </c:manualLayout>
      </c:layout>
      <c:scatterChart>
        <c:scatterStyle val="lineMarker"/>
        <c:varyColors val="0"/>
        <c:ser>
          <c:idx val="0"/>
          <c:order val="0"/>
          <c:tx>
            <c:strRef>
              <c:f>issuerTable!$K$20</c:f>
              <c:strCache>
                <c:ptCount val="1"/>
                <c:pt idx="0">
                  <c:v>long spread</c:v>
                </c:pt>
              </c:strCache>
            </c:strRef>
          </c:tx>
          <c:spPr>
            <a:ln w="28575">
              <a:solidFill>
                <a:schemeClr val="accent5">
                  <a:lumMod val="75000"/>
                </a:schemeClr>
              </a:solidFill>
            </a:ln>
            <a:effectLst/>
          </c:spPr>
          <c:marker>
            <c:symbol val="circle"/>
            <c:size val="4"/>
            <c:spPr>
              <a:solidFill>
                <a:schemeClr val="accent5">
                  <a:shade val="65000"/>
                </a:schemeClr>
              </a:solidFill>
              <a:ln w="9525" cap="flat" cmpd="sng" algn="ctr">
                <a:solidFill>
                  <a:schemeClr val="accent5">
                    <a:lumMod val="75000"/>
                  </a:schemeClr>
                </a:solidFill>
                <a:round/>
              </a:ln>
              <a:effectLst/>
            </c:spPr>
          </c:marker>
          <c:trendline>
            <c:spPr>
              <a:ln w="25400" cap="rnd" cmpd="sng" algn="ctr">
                <a:solidFill>
                  <a:srgbClr val="FF0000"/>
                </a:solidFill>
                <a:round/>
              </a:ln>
              <a:effectLst/>
            </c:spPr>
            <c:trendlineType val="linear"/>
            <c:dispRSqr val="0"/>
            <c:dispEq val="0"/>
          </c:trendline>
          <c:xVal>
            <c:numRef>
              <c:f>issuerTable!$G$21:$G$30</c:f>
              <c:numCache>
                <c:formatCode>m/d/yyyy</c:formatCode>
                <c:ptCount val="10"/>
                <c:pt idx="0">
                  <c:v>44640</c:v>
                </c:pt>
                <c:pt idx="1">
                  <c:v>44909</c:v>
                </c:pt>
                <c:pt idx="2">
                  <c:v>45173</c:v>
                </c:pt>
                <c:pt idx="3">
                  <c:v>45470</c:v>
                </c:pt>
                <c:pt idx="4">
                  <c:v>45825</c:v>
                </c:pt>
                <c:pt idx="5">
                  <c:v>46105</c:v>
                </c:pt>
                <c:pt idx="6">
                  <c:v>46552</c:v>
                </c:pt>
                <c:pt idx="7">
                  <c:v>46931</c:v>
                </c:pt>
                <c:pt idx="8">
                  <c:v>47286</c:v>
                </c:pt>
                <c:pt idx="9">
                  <c:v>47562</c:v>
                </c:pt>
              </c:numCache>
            </c:numRef>
          </c:xVal>
          <c:yVal>
            <c:numRef>
              <c:f>issuerTable!$K$21:$K$30</c:f>
              <c:numCache>
                <c:formatCode>0</c:formatCode>
                <c:ptCount val="10"/>
                <c:pt idx="0">
                  <c:v>379.42997942797689</c:v>
                </c:pt>
                <c:pt idx="1">
                  <c:v>381.39226707444124</c:v>
                </c:pt>
                <c:pt idx="2">
                  <c:v>351.94625452557585</c:v>
                </c:pt>
                <c:pt idx="3">
                  <c:v>391.24125044223609</c:v>
                </c:pt>
                <c:pt idx="4">
                  <c:v>401.57907944186633</c:v>
                </c:pt>
                <c:pt idx="5">
                  <c:v>400.39196720036773</c:v>
                </c:pt>
                <c:pt idx="6">
                  <c:v>409.44084722410611</c:v>
                </c:pt>
                <c:pt idx="7">
                  <c:v>420.630072284883</c:v>
                </c:pt>
                <c:pt idx="8">
                  <c:v>425.52170694487688</c:v>
                </c:pt>
                <c:pt idx="9">
                  <c:v>398.55349865938547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13-42F4-86C9-75FAC482F223}"/>
            </c:ext>
          </c:extLst>
        </c:ser>
        <c:ser>
          <c:idx val="1"/>
          <c:order val="1"/>
          <c:tx>
            <c:strRef>
              <c:f>issuerTable!$P$20</c:f>
              <c:strCache>
                <c:ptCount val="1"/>
                <c:pt idx="0">
                  <c:v>long spread (14d)</c:v>
                </c:pt>
              </c:strCache>
            </c:strRef>
          </c:tx>
          <c:spPr>
            <a:ln w="25400">
              <a:noFill/>
            </a:ln>
            <a:effectLst/>
          </c:spPr>
          <c:marker>
            <c:symbol val="circle"/>
            <c:size val="4"/>
            <c:spPr>
              <a:solidFill>
                <a:schemeClr val="accent5"/>
              </a:solidFill>
              <a:ln w="9525" cap="flat" cmpd="sng" algn="ctr">
                <a:solidFill>
                  <a:schemeClr val="accent5"/>
                </a:solidFill>
                <a:round/>
              </a:ln>
              <a:effectLst/>
            </c:spPr>
          </c:marker>
          <c:xVal>
            <c:numRef>
              <c:f>issuerTable!$G$21:$G$30</c:f>
              <c:numCache>
                <c:formatCode>m/d/yyyy</c:formatCode>
                <c:ptCount val="10"/>
                <c:pt idx="0">
                  <c:v>44640</c:v>
                </c:pt>
                <c:pt idx="1">
                  <c:v>44909</c:v>
                </c:pt>
                <c:pt idx="2">
                  <c:v>45173</c:v>
                </c:pt>
                <c:pt idx="3">
                  <c:v>45470</c:v>
                </c:pt>
                <c:pt idx="4">
                  <c:v>45825</c:v>
                </c:pt>
                <c:pt idx="5">
                  <c:v>46105</c:v>
                </c:pt>
                <c:pt idx="6">
                  <c:v>46552</c:v>
                </c:pt>
                <c:pt idx="7">
                  <c:v>46931</c:v>
                </c:pt>
                <c:pt idx="8">
                  <c:v>47286</c:v>
                </c:pt>
                <c:pt idx="9">
                  <c:v>47562</c:v>
                </c:pt>
              </c:numCache>
            </c:numRef>
          </c:xVal>
          <c:yVal>
            <c:numRef>
              <c:f>issuerTable!$P$21:$P$30</c:f>
              <c:numCache>
                <c:formatCode>0</c:formatCode>
                <c:ptCount val="10"/>
                <c:pt idx="0">
                  <c:v>379.03100000000001</c:v>
                </c:pt>
                <c:pt idx="1">
                  <c:v>384.67200000000003</c:v>
                </c:pt>
                <c:pt idx="2">
                  <c:v>349.89800000000002</c:v>
                </c:pt>
                <c:pt idx="3">
                  <c:v>394.01299999999998</c:v>
                </c:pt>
                <c:pt idx="4">
                  <c:v>413.41399999999999</c:v>
                </c:pt>
                <c:pt idx="5">
                  <c:v>405.14100000000002</c:v>
                </c:pt>
                <c:pt idx="6">
                  <c:v>416.298</c:v>
                </c:pt>
                <c:pt idx="7">
                  <c:v>419.65100000000001</c:v>
                </c:pt>
                <c:pt idx="8">
                  <c:v>435.81599999999997</c:v>
                </c:pt>
                <c:pt idx="9">
                  <c:v>383.27800000000002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213-42F4-86C9-75FAC482F223}"/>
            </c:ext>
          </c:extLst>
        </c:ser>
        <c:ser>
          <c:idx val="2"/>
          <c:order val="2"/>
          <c:tx>
            <c:strRef>
              <c:f>issuerTable!$U$20</c:f>
              <c:strCache>
                <c:ptCount val="1"/>
                <c:pt idx="0">
                  <c:v>long spread (30d)</c:v>
                </c:pt>
              </c:strCache>
            </c:strRef>
          </c:tx>
          <c:spPr>
            <a:ln w="28575">
              <a:noFill/>
            </a:ln>
            <a:effectLst/>
          </c:spPr>
          <c:marker>
            <c:symbol val="circle"/>
            <c:size val="4"/>
            <c:spPr>
              <a:solidFill>
                <a:schemeClr val="accent5">
                  <a:tint val="65000"/>
                </a:schemeClr>
              </a:solidFill>
              <a:ln w="9525" cap="flat" cmpd="sng" algn="ctr">
                <a:solidFill>
                  <a:schemeClr val="accent5">
                    <a:tint val="65000"/>
                  </a:schemeClr>
                </a:solidFill>
                <a:round/>
              </a:ln>
              <a:effectLst/>
            </c:spPr>
          </c:marker>
          <c:xVal>
            <c:numRef>
              <c:f>issuerTable!$G$21:$G$30</c:f>
              <c:numCache>
                <c:formatCode>m/d/yyyy</c:formatCode>
                <c:ptCount val="10"/>
                <c:pt idx="0">
                  <c:v>44640</c:v>
                </c:pt>
                <c:pt idx="1">
                  <c:v>44909</c:v>
                </c:pt>
                <c:pt idx="2">
                  <c:v>45173</c:v>
                </c:pt>
                <c:pt idx="3">
                  <c:v>45470</c:v>
                </c:pt>
                <c:pt idx="4">
                  <c:v>45825</c:v>
                </c:pt>
                <c:pt idx="5">
                  <c:v>46105</c:v>
                </c:pt>
                <c:pt idx="6">
                  <c:v>46552</c:v>
                </c:pt>
                <c:pt idx="7">
                  <c:v>46931</c:v>
                </c:pt>
                <c:pt idx="8">
                  <c:v>47286</c:v>
                </c:pt>
                <c:pt idx="9">
                  <c:v>47562</c:v>
                </c:pt>
              </c:numCache>
            </c:numRef>
          </c:xVal>
          <c:yVal>
            <c:numRef>
              <c:f>issuerTable!$U$21:$U$30</c:f>
              <c:numCache>
                <c:formatCode>0</c:formatCode>
                <c:ptCount val="10"/>
                <c:pt idx="0">
                  <c:v>353.47800000000001</c:v>
                </c:pt>
                <c:pt idx="1">
                  <c:v>365.14400000000001</c:v>
                </c:pt>
                <c:pt idx="2">
                  <c:v>361.24</c:v>
                </c:pt>
                <c:pt idx="3">
                  <c:v>408.19</c:v>
                </c:pt>
                <c:pt idx="4">
                  <c:v>0</c:v>
                </c:pt>
                <c:pt idx="5">
                  <c:v>404.68099999999998</c:v>
                </c:pt>
                <c:pt idx="6">
                  <c:v>433.899</c:v>
                </c:pt>
                <c:pt idx="7">
                  <c:v>437.42500000000001</c:v>
                </c:pt>
                <c:pt idx="8">
                  <c:v>0</c:v>
                </c:pt>
                <c:pt idx="9">
                  <c:v>393.34500000000003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213-42F4-86C9-75FAC482F2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9871072"/>
        <c:axId val="54326432"/>
      </c:scatterChart>
      <c:valAx>
        <c:axId val="1979871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yyyy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26432"/>
        <c:crosses val="autoZero"/>
        <c:crossBetween val="midCat"/>
      </c:valAx>
      <c:valAx>
        <c:axId val="54326432"/>
        <c:scaling>
          <c:orientation val="minMax"/>
          <c:min val="250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issuerTable!$I$21</c:f>
              <c:strCache>
                <c:ptCount val="1"/>
                <c:pt idx="0">
                  <c:v>yas_ispread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9871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100000">
          <a:schemeClr val="lt1">
            <a:lumMod val="95000"/>
          </a:schemeClr>
        </a:gs>
        <a:gs pos="43000">
          <a:schemeClr val="lt1"/>
        </a:gs>
      </a:gsLst>
      <a:path path="circle">
        <a:fillToRect l="50000" t="50000" r="50000" b="50000"/>
      </a:path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VW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tockChart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numRef>
              <c:f>issuerTable!$T$4:$T$14</c:f>
              <c:numCache>
                <c:formatCode>0.0</c:formatCode>
                <c:ptCount val="11"/>
                <c:pt idx="0">
                  <c:v>0.72328767123287674</c:v>
                </c:pt>
                <c:pt idx="1">
                  <c:v>1.7123287671232876</c:v>
                </c:pt>
                <c:pt idx="2">
                  <c:v>2.4493150684931506</c:v>
                </c:pt>
                <c:pt idx="3">
                  <c:v>3.1726027397260275</c:v>
                </c:pt>
                <c:pt idx="4">
                  <c:v>3.9863013698630136</c:v>
                </c:pt>
                <c:pt idx="5">
                  <c:v>4.9589041095890414</c:v>
                </c:pt>
                <c:pt idx="6">
                  <c:v>5.7260273972602738</c:v>
                </c:pt>
                <c:pt idx="7">
                  <c:v>6.9506849315068493</c:v>
                </c:pt>
                <c:pt idx="8">
                  <c:v>7.9890410958904106</c:v>
                </c:pt>
                <c:pt idx="9">
                  <c:v>8.9616438356164387</c:v>
                </c:pt>
                <c:pt idx="10">
                  <c:v>9.7178082191780817</c:v>
                </c:pt>
              </c:numCache>
            </c:numRef>
          </c:cat>
          <c:val>
            <c:numRef>
              <c:f>issuerTable!$U$4:$U$14</c:f>
              <c:numCache>
                <c:formatCode>0</c:formatCode>
                <c:ptCount val="11"/>
                <c:pt idx="0">
                  <c:v>311.34055172413792</c:v>
                </c:pt>
                <c:pt idx="1">
                  <c:v>338.57634482758624</c:v>
                </c:pt>
                <c:pt idx="2">
                  <c:v>350.20865517241378</c:v>
                </c:pt>
                <c:pt idx="3">
                  <c:v>336.66268965517241</c:v>
                </c:pt>
                <c:pt idx="4">
                  <c:v>378.07834482758631</c:v>
                </c:pt>
                <c:pt idx="5">
                  <c:v>401.90826666666663</c:v>
                </c:pt>
                <c:pt idx="6">
                  <c:v>386.96065517241374</c:v>
                </c:pt>
                <c:pt idx="7">
                  <c:v>406.04348275862071</c:v>
                </c:pt>
                <c:pt idx="8">
                  <c:v>411.21410344827586</c:v>
                </c:pt>
                <c:pt idx="9">
                  <c:v>426.46746666666661</c:v>
                </c:pt>
                <c:pt idx="10">
                  <c:v>377.72010344827584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ED1-4094-9DC0-89AFCBDFC960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numRef>
              <c:f>issuerTable!$T$4:$T$14</c:f>
              <c:numCache>
                <c:formatCode>0.0</c:formatCode>
                <c:ptCount val="11"/>
                <c:pt idx="0">
                  <c:v>0.72328767123287674</c:v>
                </c:pt>
                <c:pt idx="1">
                  <c:v>1.7123287671232876</c:v>
                </c:pt>
                <c:pt idx="2">
                  <c:v>2.4493150684931506</c:v>
                </c:pt>
                <c:pt idx="3">
                  <c:v>3.1726027397260275</c:v>
                </c:pt>
                <c:pt idx="4">
                  <c:v>3.9863013698630136</c:v>
                </c:pt>
                <c:pt idx="5">
                  <c:v>4.9589041095890414</c:v>
                </c:pt>
                <c:pt idx="6">
                  <c:v>5.7260273972602738</c:v>
                </c:pt>
                <c:pt idx="7">
                  <c:v>6.9506849315068493</c:v>
                </c:pt>
                <c:pt idx="8">
                  <c:v>7.9890410958904106</c:v>
                </c:pt>
                <c:pt idx="9">
                  <c:v>8.9616438356164387</c:v>
                </c:pt>
                <c:pt idx="10">
                  <c:v>9.7178082191780817</c:v>
                </c:pt>
              </c:numCache>
            </c:numRef>
          </c:cat>
          <c:val>
            <c:numRef>
              <c:f>issuerTable!$V$4:$V$14</c:f>
              <c:numCache>
                <c:formatCode>0</c:formatCode>
                <c:ptCount val="11"/>
                <c:pt idx="0">
                  <c:v>523.58100000000002</c:v>
                </c:pt>
                <c:pt idx="1">
                  <c:v>399.197</c:v>
                </c:pt>
                <c:pt idx="2">
                  <c:v>407.52499999999998</c:v>
                </c:pt>
                <c:pt idx="3">
                  <c:v>386.84399999999999</c:v>
                </c:pt>
                <c:pt idx="4">
                  <c:v>430.93700000000001</c:v>
                </c:pt>
                <c:pt idx="5">
                  <c:v>419.97300000000001</c:v>
                </c:pt>
                <c:pt idx="6">
                  <c:v>427.00599999999997</c:v>
                </c:pt>
                <c:pt idx="7">
                  <c:v>452.33100000000002</c:v>
                </c:pt>
                <c:pt idx="8">
                  <c:v>450.30500000000001</c:v>
                </c:pt>
                <c:pt idx="9">
                  <c:v>442.27</c:v>
                </c:pt>
                <c:pt idx="10">
                  <c:v>400.65100000000001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ED1-4094-9DC0-89AFCBDFC960}"/>
            </c:ext>
          </c:extLst>
        </c:ser>
        <c:ser>
          <c:idx val="2"/>
          <c:order val="2"/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numRef>
              <c:f>issuerTable!$T$4:$T$14</c:f>
              <c:numCache>
                <c:formatCode>0.0</c:formatCode>
                <c:ptCount val="11"/>
                <c:pt idx="0">
                  <c:v>0.72328767123287674</c:v>
                </c:pt>
                <c:pt idx="1">
                  <c:v>1.7123287671232876</c:v>
                </c:pt>
                <c:pt idx="2">
                  <c:v>2.4493150684931506</c:v>
                </c:pt>
                <c:pt idx="3">
                  <c:v>3.1726027397260275</c:v>
                </c:pt>
                <c:pt idx="4">
                  <c:v>3.9863013698630136</c:v>
                </c:pt>
                <c:pt idx="5">
                  <c:v>4.9589041095890414</c:v>
                </c:pt>
                <c:pt idx="6">
                  <c:v>5.7260273972602738</c:v>
                </c:pt>
                <c:pt idx="7">
                  <c:v>6.9506849315068493</c:v>
                </c:pt>
                <c:pt idx="8">
                  <c:v>7.9890410958904106</c:v>
                </c:pt>
                <c:pt idx="9">
                  <c:v>8.9616438356164387</c:v>
                </c:pt>
                <c:pt idx="10">
                  <c:v>9.7178082191780817</c:v>
                </c:pt>
              </c:numCache>
            </c:numRef>
          </c:cat>
          <c:val>
            <c:numRef>
              <c:f>issuerTable!$W$4:$W$14</c:f>
              <c:numCache>
                <c:formatCode>0</c:formatCode>
                <c:ptCount val="11"/>
                <c:pt idx="0">
                  <c:v>210.542</c:v>
                </c:pt>
                <c:pt idx="1">
                  <c:v>190.495</c:v>
                </c:pt>
                <c:pt idx="2">
                  <c:v>223.173</c:v>
                </c:pt>
                <c:pt idx="3">
                  <c:v>246.36500000000001</c:v>
                </c:pt>
                <c:pt idx="4">
                  <c:v>282.30399999999997</c:v>
                </c:pt>
                <c:pt idx="5">
                  <c:v>373.50099999999998</c:v>
                </c:pt>
                <c:pt idx="6">
                  <c:v>306.81900000000002</c:v>
                </c:pt>
                <c:pt idx="7">
                  <c:v>332.053</c:v>
                </c:pt>
                <c:pt idx="8">
                  <c:v>348.66</c:v>
                </c:pt>
                <c:pt idx="9">
                  <c:v>405.67700000000002</c:v>
                </c:pt>
                <c:pt idx="10">
                  <c:v>319.91500000000002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ED1-4094-9DC0-89AFCBDFC960}"/>
            </c:ext>
          </c:extLst>
        </c:ser>
        <c:ser>
          <c:idx val="3"/>
          <c:order val="3"/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numRef>
              <c:f>issuerTable!$T$4:$T$14</c:f>
              <c:numCache>
                <c:formatCode>0.0</c:formatCode>
                <c:ptCount val="11"/>
                <c:pt idx="0">
                  <c:v>0.72328767123287674</c:v>
                </c:pt>
                <c:pt idx="1">
                  <c:v>1.7123287671232876</c:v>
                </c:pt>
                <c:pt idx="2">
                  <c:v>2.4493150684931506</c:v>
                </c:pt>
                <c:pt idx="3">
                  <c:v>3.1726027397260275</c:v>
                </c:pt>
                <c:pt idx="4">
                  <c:v>3.9863013698630136</c:v>
                </c:pt>
                <c:pt idx="5">
                  <c:v>4.9589041095890414</c:v>
                </c:pt>
                <c:pt idx="6">
                  <c:v>5.7260273972602738</c:v>
                </c:pt>
                <c:pt idx="7">
                  <c:v>6.9506849315068493</c:v>
                </c:pt>
                <c:pt idx="8">
                  <c:v>7.9890410958904106</c:v>
                </c:pt>
                <c:pt idx="9">
                  <c:v>8.9616438356164387</c:v>
                </c:pt>
                <c:pt idx="10">
                  <c:v>9.7178082191780817</c:v>
                </c:pt>
              </c:numCache>
            </c:numRef>
          </c:cat>
          <c:val>
            <c:numRef>
              <c:f>issuerTable!$X$4:$X$14</c:f>
              <c:numCache>
                <c:formatCode>0</c:formatCode>
                <c:ptCount val="11"/>
                <c:pt idx="0">
                  <c:v>232.80150999774713</c:v>
                </c:pt>
                <c:pt idx="1">
                  <c:v>378.09879280262078</c:v>
                </c:pt>
                <c:pt idx="2">
                  <c:v>380.93242173426552</c:v>
                </c:pt>
                <c:pt idx="3">
                  <c:v>351.54757873925064</c:v>
                </c:pt>
                <c:pt idx="4">
                  <c:v>390.35762920864863</c:v>
                </c:pt>
                <c:pt idx="5">
                  <c:v>400.16401077102495</c:v>
                </c:pt>
                <c:pt idx="6">
                  <c:v>399.09209083713608</c:v>
                </c:pt>
                <c:pt idx="7">
                  <c:v>408.4015536696275</c:v>
                </c:pt>
                <c:pt idx="8">
                  <c:v>420.38294058804729</c:v>
                </c:pt>
                <c:pt idx="9">
                  <c:v>423.81547716910404</c:v>
                </c:pt>
                <c:pt idx="10">
                  <c:v>397.00027094562597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ED1-4094-9DC0-89AFCBDFC9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upDownBars>
          <c:gapWidth val="150"/>
          <c:upBars>
            <c:spPr>
              <a:solidFill>
                <a:schemeClr val="lt1"/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upBars>
          <c:downBars>
            <c:spPr>
              <a:solidFill>
                <a:schemeClr val="dk1">
                  <a:lumMod val="75000"/>
                  <a:lumOff val="25000"/>
                </a:schemeClr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downBars>
        </c:upDownBars>
        <c:axId val="1457811999"/>
        <c:axId val="573281695"/>
      </c:stockChart>
      <c:catAx>
        <c:axId val="1457811999"/>
        <c:scaling>
          <c:orientation val="minMax"/>
        </c:scaling>
        <c:delete val="0"/>
        <c:axPos val="b"/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281695"/>
        <c:crosses val="autoZero"/>
        <c:auto val="1"/>
        <c:lblAlgn val="ctr"/>
        <c:lblOffset val="100"/>
        <c:noMultiLvlLbl val="0"/>
      </c:catAx>
      <c:valAx>
        <c:axId val="573281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7811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4">
  <cs:axisTitle>
    <cs:lnRef idx="0"/>
    <cs:fillRef idx="0"/>
    <cs:effectRef idx="0"/>
    <cs:fontRef idx="minor">
      <a:schemeClr val="dk1">
        <a:lumMod val="50000"/>
        <a:lumOff val="50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100000">
            <a:schemeClr val="lt1">
              <a:lumMod val="95000"/>
            </a:schemeClr>
          </a:gs>
          <a:gs pos="43000">
            <a:schemeClr val="lt1"/>
          </a:gs>
        </a:gsLst>
        <a:path path="circle">
          <a:fillToRect l="50000" t="50000" r="50000" b="50000"/>
        </a:path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>
        <a:solidFill>
          <a:schemeClr val="phClr">
            <a:alpha val="20000"/>
          </a:schemeClr>
        </a:solidFill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600" b="0" kern="1200" spc="70" baseline="0"/>
  </cs:title>
  <cs:trendline>
    <cs:lnRef idx="0">
      <cs:styleClr val="0"/>
    </cs:lnRef>
    <cs:fillRef idx="0"/>
    <cs:effectRef idx="0"/>
    <cs:fontRef idx="minor">
      <a:schemeClr val="tx1"/>
    </cs:fontRef>
    <cs:spPr>
      <a:ln w="63500" cap="rnd" cmpd="sng" algn="ctr">
        <a:solidFill>
          <a:schemeClr val="phClr"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508001</xdr:colOff>
      <xdr:row>21</xdr:row>
      <xdr:rowOff>9524</xdr:rowOff>
    </xdr:from>
    <xdr:to>
      <xdr:col>33</xdr:col>
      <xdr:colOff>495301</xdr:colOff>
      <xdr:row>37</xdr:row>
      <xdr:rowOff>44450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52EF026-85AE-4870-BA5E-DFD30C9A7E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241300</xdr:colOff>
      <xdr:row>2</xdr:row>
      <xdr:rowOff>57150</xdr:rowOff>
    </xdr:from>
    <xdr:to>
      <xdr:col>29</xdr:col>
      <xdr:colOff>133350</xdr:colOff>
      <xdr:row>14</xdr:row>
      <xdr:rowOff>38100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822BB9A-66DD-44DA-A1EE-CD67FDF1E8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146050</xdr:colOff>
      <xdr:row>1</xdr:row>
      <xdr:rowOff>57150</xdr:rowOff>
    </xdr:from>
    <xdr:to>
      <xdr:col>34</xdr:col>
      <xdr:colOff>241300</xdr:colOff>
      <xdr:row>3</xdr:row>
      <xdr:rowOff>101600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4C654E7-99DB-482D-8031-B3E659829EA7}"/>
            </a:ext>
          </a:extLst>
        </xdr:cNvPr>
        <xdr:cNvSpPr txBox="1"/>
      </xdr:nvSpPr>
      <xdr:spPr>
        <a:xfrm>
          <a:off x="25660350" y="196850"/>
          <a:ext cx="2533650" cy="311150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>
              <a:solidFill>
                <a:schemeClr val="accent2"/>
              </a:solidFill>
            </a:rPr>
            <a:t>LPHP DAPI:0:1 3595071 &lt;GO&gt;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7E1692-CD20-4F25-A773-77DF5A2479D7}" name="curve" displayName="curve" ref="B3:AG39" totalsRowShown="0" headerRowDxfId="49" dataDxfId="48" tableBorderDxfId="47">
  <autoFilter ref="B3:AG39" xr:uid="{C0EFB41A-E288-4CDD-9310-CD6DFC455EDD}"/>
  <sortState xmlns:xlrd2="http://schemas.microsoft.com/office/spreadsheetml/2017/richdata2" ref="B4:AD39">
    <sortCondition descending="1" ref="N3:N39"/>
  </sortState>
  <tableColumns count="32">
    <tableColumn id="1" xr3:uid="{80A59F0A-98E9-447F-87E8-6319D8873195}" name="ticker" dataDxfId="46"/>
    <tableColumn id="2" xr3:uid="{A4DAA373-122F-4416-8610-CBEE4374EB48}" name="short code" dataDxfId="45"/>
    <tableColumn id="3" xr3:uid="{8282AE33-D9FE-4BB2-961D-DF367E903D6D}" name="long code" dataDxfId="44"/>
    <tableColumn id="4" xr3:uid="{42E73CC7-D14B-4C02-BFA1-48D8F2ADCAB4}" name="short bond" dataDxfId="43">
      <calculatedColumnFormula array="1">_xll.BDP(curve[[#This Row],[short code]],"security_name")</calculatedColumnFormula>
    </tableColumn>
    <tableColumn id="5" xr3:uid="{886792A4-9060-4540-BC3C-F2862C6D3082}" name="long bond" dataDxfId="42">
      <calculatedColumnFormula array="1">_xll.BDP(curve[[#This Row],[long code]],"security_name")</calculatedColumnFormula>
    </tableColumn>
    <tableColumn id="6" xr3:uid="{9BEE4644-6CD5-4FAC-93ED-A30607D7A207}" name="short date" dataDxfId="41">
      <calculatedColumnFormula array="1">_xll.BDP(curve[[#This Row],[short code]],"nxt_call_dt")*1</calculatedColumnFormula>
    </tableColumn>
    <tableColumn id="7" xr3:uid="{034D469D-3482-4E3A-BC2C-9406676B390C}" name="long date" dataDxfId="40">
      <calculatedColumnFormula array="1">_xll.BDP(curve[[#This Row],[long code]],"nxt_call_dt")*1</calculatedColumnFormula>
    </tableColumn>
    <tableColumn id="8" xr3:uid="{79B3B0E3-7241-4259-8BA6-94FDE5A45183}" name="years" dataDxfId="39">
      <calculatedColumnFormula>(curve[[#This Row],[long date]]-curve[[#This Row],[short date]])/365</calculatedColumnFormula>
    </tableColumn>
    <tableColumn id="9" xr3:uid="{5FF3DE26-CB41-4C73-B26C-DC229DFBE7A5}" name="spread measure" dataDxfId="38"/>
    <tableColumn id="10" xr3:uid="{BE4FFBC6-ECE6-4146-91C8-2A300D6D9CDD}" name="short spread" dataDxfId="37">
      <calculatedColumnFormula array="1">_xll.BDP(curve[[#This Row],[short code]],curve[[#This Row],[spread measure]])</calculatedColumnFormula>
    </tableColumn>
    <tableColumn id="11" xr3:uid="{E5B8A48D-1EEC-4E6C-BCCA-814746F46FB8}" name="long spread" dataDxfId="36">
      <calculatedColumnFormula array="1">_xll.BDP(curve[[#This Row],[long code]],curve[[#This Row],[spread measure]])</calculatedColumnFormula>
    </tableColumn>
    <tableColumn id="12" xr3:uid="{8CA56BD7-7CBB-4685-8D6C-C9E367041902}" name="curve" dataDxfId="35">
      <calculatedColumnFormula>curve[[#This Row],[long spread]]-curve[[#This Row],[short spread]]</calculatedColumnFormula>
    </tableColumn>
    <tableColumn id="13" xr3:uid="{80F4ECB8-228E-4FE0-9F84-9E1F458CBE45}" name="curve per year" dataDxfId="34">
      <calculatedColumnFormula>curve[[#This Row],[curve]]/curve[[#This Row],[years]]</calculatedColumnFormula>
    </tableColumn>
    <tableColumn id="14" xr3:uid="{1D86CCEB-4165-41A1-9E14-5DC2731BEC13}" name="short rating" dataDxfId="33">
      <calculatedColumnFormula array="1">_xll.BDP(curve[[#This Row],[short code]],"bb_composite")</calculatedColumnFormula>
    </tableColumn>
    <tableColumn id="15" xr3:uid="{76E7085A-8E8A-4EE7-A18C-D786A304B24A}" name="long rating" dataDxfId="32">
      <calculatedColumnFormula array="1">_xll.BDP(curve[[#This Row],[long code]],"bb_composite")</calculatedColumnFormula>
    </tableColumn>
    <tableColumn id="16" xr3:uid="{EF47DAD2-C5D8-41A4-A858-9649FBC64BA1}" name="short crncy" dataDxfId="31">
      <calculatedColumnFormula array="1">_xll.BDP(curve[[#This Row],[short code]],"crncy")</calculatedColumnFormula>
    </tableColumn>
    <tableColumn id="17" xr3:uid="{24647F05-8CE1-4F98-8378-DD1F9EDAC754}" name="long crncy" dataDxfId="30">
      <calculatedColumnFormula array="1">_xll.BDP(curve[[#This Row],[long code]],"crncy")</calculatedColumnFormula>
    </tableColumn>
    <tableColumn id="18" xr3:uid="{63BC3D71-0AFC-4D73-9C66-98654C377525}" name="RH sector" dataDxfId="29">
      <calculatedColumnFormula>INDEX(tkrBBG!AA:AA,MATCH(curve[[#This Row],[ticker]],tkrBBG!Z:Z,0))</calculatedColumnFormula>
    </tableColumn>
    <tableColumn id="19" xr3:uid="{6A479CFF-1B7A-48C3-BB49-F78929AEB7EF}" name="hist spread measure" dataDxfId="28"/>
    <tableColumn id="20" xr3:uid="{843E756F-9277-4F6E-B61B-887B6DCD3E29}" name="short Spread (14d)" dataDxfId="27">
      <calculatedColumnFormula array="1">_xll.BDH(curve[[#This Row],[short code]],curve[[#This Row],[hist spread measure]],$V$2)</calculatedColumnFormula>
    </tableColumn>
    <tableColumn id="21" xr3:uid="{F04770BE-ADB4-479B-8B41-C89E73C04CBC}" name="long Spread (14d)" dataDxfId="26">
      <calculatedColumnFormula array="1">_xll.BDH(curve[[#This Row],[long code]],curve[[#This Row],[hist spread measure]],$V$2)</calculatedColumnFormula>
    </tableColumn>
    <tableColumn id="22" xr3:uid="{24DC2ED8-F8EE-48A9-BA14-EF71BE6532FA}" name="curve (14d)" dataDxfId="25">
      <calculatedColumnFormula>IFERROR(curve[[#This Row],[long Spread (14d)]]-curve[[#This Row],[short Spread (14d)]],"-")</calculatedColumnFormula>
    </tableColumn>
    <tableColumn id="23" xr3:uid="{D1E95AC9-125B-410A-927B-749A85004E09}" name="curve per year (14d)" dataDxfId="24">
      <calculatedColumnFormula>IFERROR(curve[[#This Row],[curve (14d)]]/curve[[#This Row],[years]],"-")</calculatedColumnFormula>
    </tableColumn>
    <tableColumn id="24" xr3:uid="{56FDFCF0-2692-4E8B-A3C8-2411A9DAA0B5}" name="curve change (14d)" dataDxfId="23">
      <calculatedColumnFormula>IFERROR(curve[[#This Row],[curve per year]]-curve[[#This Row],[curve per year (14d)]],"-")</calculatedColumnFormula>
    </tableColumn>
    <tableColumn id="25" xr3:uid="{82BF0A6A-043E-42BC-91D6-AE3617F7DD65}" name="short spread (30d)" dataDxfId="22">
      <calculatedColumnFormula array="1">_xll.BDH(curve[[#This Row],[short code]],curve[[#This Row],[hist spread measure]],$AA$2)</calculatedColumnFormula>
    </tableColumn>
    <tableColumn id="26" xr3:uid="{EC5CECAC-75E5-4977-AC29-C298FE9DBB94}" name="long spread (30d)" dataDxfId="21">
      <calculatedColumnFormula array="1">_xll.BDH(curve[[#This Row],[long code]],curve[[#This Row],[hist spread measure]],$AA$2)</calculatedColumnFormula>
    </tableColumn>
    <tableColumn id="27" xr3:uid="{7836DB5B-0C06-4840-AE1B-DAC114FF7BAF}" name="curve (30d)" dataDxfId="20">
      <calculatedColumnFormula>IFERROR(curve[[#This Row],[long spread (30d)]]-curve[[#This Row],[short spread (30d)]],"-")</calculatedColumnFormula>
    </tableColumn>
    <tableColumn id="28" xr3:uid="{0C68332C-F0C2-48C9-967E-6394259F9917}" name="curve per year (30d)" dataDxfId="19">
      <calculatedColumnFormula>IFERROR(curve[[#This Row],[curve (30d)]]/curve[[#This Row],[years]],"-")</calculatedColumnFormula>
    </tableColumn>
    <tableColumn id="29" xr3:uid="{91FE4676-2BFE-4B81-B898-D65912B5C1F3}" name="curve change (30d)" dataDxfId="18">
      <calculatedColumnFormula>IFERROR(curve[[#This Row],[curve per year]]-curve[[#This Row],[curve per year (30d)]],"-")</calculatedColumnFormula>
    </tableColumn>
    <tableColumn id="30" xr3:uid="{133AD750-E0D7-4951-8248-C0309B7E4388}" name="average 30d spread" dataDxfId="17">
      <calculatedColumnFormula array="1">_xll.BDP(curve[[#This Row],[short code]],"interval_avg","calc_interval=30d","market_data_override=sp210")</calculatedColumnFormula>
    </tableColumn>
    <tableColumn id="31" xr3:uid="{0197779F-E723-49A9-96E0-3CED4C8D6AAB}" name="average 90d spread" dataDxfId="16">
      <calculatedColumnFormula array="1">_xll.BDP(curve[[#This Row],[short code]],"interval_avg","calc_interval=90d","market_data_override=sp210")</calculatedColumnFormula>
    </tableColumn>
    <tableColumn id="32" xr3:uid="{2D3BD413-933E-4A2B-AB68-93602B872AFF}" name="st dev 30d spread" dataDxfId="15">
      <calculatedColumnFormula array="1">_xll.BDP(curve[[#This Row],[short code]],"interval_std_dev","calc_interval=30d","market_data_override=sp210")</calculatedColumnFormula>
    </tableColumn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92710A-7366-4486-884D-82B8C2EB219B}" name="bonds" displayName="bonds" ref="E1:O196" totalsRowShown="0" headerRowDxfId="14" dataDxfId="12" headerRowBorderDxfId="13" tableBorderDxfId="11">
  <autoFilter ref="E1:O196" xr:uid="{F247113D-FA53-43BB-9892-16854BCB52A6}"/>
  <tableColumns count="11">
    <tableColumn id="1" xr3:uid="{EE4060BA-C274-420C-B47A-1F7395400B16}" name="worksheet get" dataDxfId="10"/>
    <tableColumn id="2" xr3:uid="{9404DB10-D1C1-42AB-931E-480145E77C95}" name="ID_ISIN" dataDxfId="9">
      <calculatedColumnFormula array="1">_xll.BDP(bonds[[#This Row],[worksheet get]],bonds[[#Headers],[ID_ISIN]])</calculatedColumnFormula>
    </tableColumn>
    <tableColumn id="3" xr3:uid="{948A11F9-0E44-4C7E-A171-F00F6F4D0821}" name="security name" dataDxfId="8">
      <calculatedColumnFormula array="1">_xll.BDP(bonds[[#This Row],[worksheet get]],bonds[[#Headers],[security name]])</calculatedColumnFormula>
    </tableColumn>
    <tableColumn id="4" xr3:uid="{FF8F818A-0DE7-4C3E-956A-DDBC1A3C251E}" name="ticker" dataDxfId="7">
      <calculatedColumnFormula array="1">_xll.BDP(bonds[[#This Row],[worksheet get]],bonds[[#Headers],[ticker]])</calculatedColumnFormula>
    </tableColumn>
    <tableColumn id="5" xr3:uid="{C4F6E1E3-A173-48FC-90A6-54C1E639FCD9}" name="coupon" dataDxfId="6">
      <calculatedColumnFormula array="1">_xll.BDP(bonds[[#This Row],[worksheet get]],bonds[[#Headers],[coupon]])</calculatedColumnFormula>
    </tableColumn>
    <tableColumn id="6" xr3:uid="{9BDAE057-D326-47A3-86AC-488A5785D425}" name="nxt_call_dt" dataDxfId="5">
      <calculatedColumnFormula array="1">_xll.BDP(bonds[[#This Row],[worksheet get]],bonds[[#Headers],[nxt_call_dt]])*1</calculatedColumnFormula>
    </tableColumn>
    <tableColumn id="7" xr3:uid="{66700B7A-E0F1-4DED-B3A3-59E08CEADBCB}" name="mty_typ" dataDxfId="4">
      <calculatedColumnFormula array="1">_xll.BDP(bonds[[#This Row],[worksheet get]],bonds[[#Headers],[mty_typ]])</calculatedColumnFormula>
    </tableColumn>
    <tableColumn id="8" xr3:uid="{97FC8FDD-195C-4E33-99D2-BF7487A240CC}" name="crncy" dataDxfId="3">
      <calculatedColumnFormula array="1">_xll.BDP(bonds[[#This Row],[worksheet get]],bonds[[#Headers],[crncy]])</calculatedColumnFormula>
    </tableColumn>
    <tableColumn id="9" xr3:uid="{DC3600E4-186B-4A3D-8DE9-239A31E898E9}" name="amt_outstanding" dataDxfId="2">
      <calculatedColumnFormula array="1">_xll.BDP(bonds[[#This Row],[worksheet get]],bonds[[#Headers],[amt_outstanding]])</calculatedColumnFormula>
    </tableColumn>
    <tableColumn id="10" xr3:uid="{4DCD604D-EA65-422D-9DB1-5FCB26DB0124}" name="industry_sector" dataDxfId="1">
      <calculatedColumnFormula array="1">_xll.BDP(bonds[[#This Row],[worksheet get]],bonds[[#Headers],[industry_sector]])</calculatedColumnFormula>
    </tableColumn>
    <tableColumn id="11" xr3:uid="{1493F6D7-A807-48FC-83E4-11DF089DE3ED}" name="unique lookup" dataDxfId="0">
      <calculatedColumnFormula>bonds[[#This Row],[security name]]&amp;" nc-"&amp;RIGHT(YEAR(bonds[[#This Row],[nxt_call_dt]]),2)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E9B70-D56D-4243-9C07-1EAF45C5874C}">
  <sheetPr>
    <tabColor theme="8"/>
  </sheetPr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1BD1A-4F27-495F-B59C-F76251D39EF1}">
  <sheetPr>
    <tabColor theme="8"/>
  </sheetPr>
  <dimension ref="A2:AC488"/>
  <sheetViews>
    <sheetView tabSelected="1" workbookViewId="0">
      <selection activeCell="C33" sqref="C33"/>
    </sheetView>
  </sheetViews>
  <sheetFormatPr defaultColWidth="8.7265625" defaultRowHeight="10.5" x14ac:dyDescent="0.25"/>
  <cols>
    <col min="1" max="1" width="10.81640625" style="5" bestFit="1" customWidth="1"/>
    <col min="2" max="2" width="18.26953125" style="5" bestFit="1" customWidth="1"/>
    <col min="3" max="3" width="25.7265625" style="5" bestFit="1" customWidth="1"/>
    <col min="4" max="4" width="11.7265625" style="5" bestFit="1" customWidth="1"/>
    <col min="5" max="5" width="9" style="5" bestFit="1" customWidth="1"/>
    <col min="6" max="7" width="9.81640625" style="5" bestFit="1" customWidth="1"/>
    <col min="8" max="8" width="7.1796875" style="5" bestFit="1" customWidth="1"/>
    <col min="9" max="14" width="8.7265625" style="5"/>
    <col min="15" max="15" width="9.81640625" style="5" bestFit="1" customWidth="1"/>
    <col min="16" max="19" width="8.7265625" style="5"/>
    <col min="20" max="20" width="9.81640625" style="5" bestFit="1" customWidth="1"/>
    <col min="21" max="16384" width="8.7265625" style="5"/>
  </cols>
  <sheetData>
    <row r="2" spans="2:25" x14ac:dyDescent="0.25">
      <c r="B2" s="5" t="s">
        <v>2</v>
      </c>
      <c r="C2" s="11" t="s">
        <v>145</v>
      </c>
      <c r="E2" s="5" t="s">
        <v>444</v>
      </c>
      <c r="F2" s="5">
        <f>COUNTA(_xlfn.ANCHORARRAY(C4))</f>
        <v>11</v>
      </c>
      <c r="L2" s="5" t="s">
        <v>452</v>
      </c>
      <c r="M2" s="11">
        <v>30</v>
      </c>
    </row>
    <row r="3" spans="2:25" ht="11" x14ac:dyDescent="0.3">
      <c r="C3" s="4" t="s">
        <v>146</v>
      </c>
      <c r="D3" s="4" t="s">
        <v>147</v>
      </c>
      <c r="E3" s="5" t="s">
        <v>443</v>
      </c>
      <c r="F3" s="4" t="s">
        <v>148</v>
      </c>
      <c r="G3" s="5" t="s">
        <v>410</v>
      </c>
      <c r="H3" s="5" t="s">
        <v>449</v>
      </c>
      <c r="I3" s="5" t="s">
        <v>448</v>
      </c>
      <c r="J3" s="5" t="s">
        <v>419</v>
      </c>
      <c r="K3" s="5" t="s">
        <v>150</v>
      </c>
      <c r="L3" s="5" t="s">
        <v>17</v>
      </c>
      <c r="M3" s="5" t="s">
        <v>447</v>
      </c>
      <c r="N3" s="5" t="s">
        <v>420</v>
      </c>
      <c r="O3" s="5" t="s">
        <v>421</v>
      </c>
      <c r="P3" s="5" t="s">
        <v>163</v>
      </c>
      <c r="Q3" s="5" t="s">
        <v>445</v>
      </c>
      <c r="R3" s="5" t="s">
        <v>446</v>
      </c>
      <c r="T3" s="5" t="s">
        <v>15</v>
      </c>
      <c r="U3" s="5" t="str">
        <f t="shared" ref="U3:U14" si="0">M3</f>
        <v>30d av spread</v>
      </c>
      <c r="V3" s="5" t="s">
        <v>450</v>
      </c>
      <c r="W3" s="5" t="s">
        <v>451</v>
      </c>
      <c r="X3" s="5" t="str">
        <f>J3</f>
        <v>spread</v>
      </c>
    </row>
    <row r="4" spans="2:25" x14ac:dyDescent="0.25">
      <c r="C4" s="5" t="str" cm="1">
        <f t="array" ref="C4:C14">_xlfn._xlws.FILTER(bonds[unique lookup],(bonds[ticker]=C2)*(bonds[crncy]="eur"))</f>
        <v>VW 3 3/4 PERP nc-21</v>
      </c>
      <c r="D4" s="22" t="str" cm="1">
        <f t="array" ref="D4:D14">_xlfn.XLOOKUP(_xlfn.ANCHORARRAY(C4),bonds[unique lookup],bonds[ID_ISIN])</f>
        <v>XS1048428012</v>
      </c>
      <c r="E4" s="5" t="str" cm="1">
        <f t="array" ref="E4">_xll.BDP(D4&amp;" Corp","crncy")</f>
        <v>EUR</v>
      </c>
      <c r="F4" s="21" t="s">
        <v>149</v>
      </c>
      <c r="G4" s="25" cm="1">
        <f t="array" ref="G4:G14">_xll.BDP(_xlfn.ANCHORARRAY(D4)&amp;" Corp","nxt_call_dt")*1</f>
        <v>44279</v>
      </c>
      <c r="H4" s="17">
        <f ca="1">(G4-TODAY())/365</f>
        <v>0.72328767123287674</v>
      </c>
      <c r="J4" s="18" cm="1">
        <f t="array" ref="J4:J14">_xll.BDP(_xlfn.ANCHORARRAY(D4)&amp;" Corp","yas_ispread")</f>
        <v>232.80150999774713</v>
      </c>
      <c r="K4" s="18"/>
      <c r="M4" s="18" cm="1">
        <f t="array" ref="M4:M14">_xll.BDP(_xlfn.ANCHORARRAY(D4)&amp;" Corp","interval_avg","calc_interval="&amp;$M$2&amp;"d","market_data_override=sp210")</f>
        <v>311.34055172413792</v>
      </c>
      <c r="P4" s="18" cm="1">
        <f t="array" ref="P4:P14">_xll.BDP(_xlfn.ANCHORARRAY(D4)&amp;" Corp","interval_std_dev","calc_interval=30d","market_data_override=sp210")</f>
        <v>97.490214868902257</v>
      </c>
      <c r="Q4" s="18" cm="1">
        <f t="array" ref="Q4:Q14">_xll.BDP(_xlfn.ANCHORARRAY(D4)&amp;" Corp","interval_low","calc_interval=30d","market_data_override=sp210")</f>
        <v>210.542</v>
      </c>
      <c r="R4" s="18" cm="1">
        <f t="array" ref="R4:R14">_xll.BDP(_xlfn.ANCHORARRAY(D4)&amp;" Corp","interval_high","calc_interval=30d","market_data_override=sp210")</f>
        <v>523.58100000000002</v>
      </c>
      <c r="T4" s="17">
        <f ca="1">H4</f>
        <v>0.72328767123287674</v>
      </c>
      <c r="U4" s="18">
        <f t="shared" si="0"/>
        <v>311.34055172413792</v>
      </c>
      <c r="V4" s="18">
        <f>R4</f>
        <v>523.58100000000002</v>
      </c>
      <c r="W4" s="18">
        <f>Q4</f>
        <v>210.542</v>
      </c>
      <c r="X4" s="18">
        <f>J4</f>
        <v>232.80150999774713</v>
      </c>
    </row>
    <row r="5" spans="2:25" x14ac:dyDescent="0.25">
      <c r="C5" s="5" t="str">
        <v>VW 2 1/2 PERP nc-22</v>
      </c>
      <c r="D5" s="22" t="str">
        <v>XS1206540806</v>
      </c>
      <c r="E5" s="5" t="str" cm="1">
        <f t="array" ref="E5">_xll.BDP(D5&amp;" Corp","crncy")</f>
        <v>EUR</v>
      </c>
      <c r="F5" s="21">
        <v>2500000</v>
      </c>
      <c r="G5" s="25">
        <v>44640</v>
      </c>
      <c r="H5" s="17">
        <f t="shared" ref="H5:H14" ca="1" si="1">(G5-TODAY())/365</f>
        <v>1.7123287671232876</v>
      </c>
      <c r="I5" s="17">
        <f t="shared" ref="I5:I14" si="2">(G5-G4)/365</f>
        <v>0.989041095890411</v>
      </c>
      <c r="J5" s="18">
        <v>379.42997942797689</v>
      </c>
      <c r="K5" s="18">
        <f>J5-J4</f>
        <v>146.62846943022976</v>
      </c>
      <c r="L5" s="18">
        <f>K5/I5</f>
        <v>148.25316161228216</v>
      </c>
      <c r="M5" s="18">
        <v>338.57634482758624</v>
      </c>
      <c r="N5" s="18">
        <f t="shared" ref="N5:N14" si="3">M5-M4</f>
        <v>27.235793103448316</v>
      </c>
      <c r="O5" s="18">
        <f t="shared" ref="O5:O14" si="4">N5/I5</f>
        <v>27.537574744483752</v>
      </c>
      <c r="P5" s="18">
        <v>52.108158656693426</v>
      </c>
      <c r="Q5" s="18">
        <v>190.495</v>
      </c>
      <c r="R5" s="18">
        <v>399.197</v>
      </c>
      <c r="T5" s="17">
        <f t="shared" ref="T5:T14" ca="1" si="5">H5</f>
        <v>1.7123287671232876</v>
      </c>
      <c r="U5" s="18">
        <f t="shared" si="0"/>
        <v>338.57634482758624</v>
      </c>
      <c r="V5" s="18">
        <f t="shared" ref="V5:V14" si="6">R5</f>
        <v>399.197</v>
      </c>
      <c r="W5" s="18">
        <f t="shared" ref="W5:W14" si="7">Q5</f>
        <v>190.495</v>
      </c>
      <c r="X5" s="18">
        <f t="shared" ref="X5:X14" si="8">J5</f>
        <v>378.09879280262078</v>
      </c>
    </row>
    <row r="6" spans="2:25" x14ac:dyDescent="0.25">
      <c r="C6" s="5" t="str">
        <v>VW 2.7 PERP nc-22</v>
      </c>
      <c r="D6" s="22" t="str">
        <v>XS1629658755</v>
      </c>
      <c r="E6" s="5" t="str" cm="1">
        <f t="array" ref="E6">_xll.BDP(D6&amp;" Corp","crncy")</f>
        <v>EUR</v>
      </c>
      <c r="F6" s="21" t="s">
        <v>149</v>
      </c>
      <c r="G6" s="25">
        <v>44909</v>
      </c>
      <c r="H6" s="17">
        <f t="shared" ca="1" si="1"/>
        <v>2.4493150684931506</v>
      </c>
      <c r="I6" s="17">
        <f t="shared" si="2"/>
        <v>0.73698630136986298</v>
      </c>
      <c r="J6" s="18">
        <v>381.39226707444124</v>
      </c>
      <c r="K6" s="18">
        <f t="shared" ref="K6:K14" si="9">J6-J5</f>
        <v>2.8336289316447392</v>
      </c>
      <c r="L6" s="18">
        <f t="shared" ref="L6:L14" si="10">K6/I6</f>
        <v>3.8448868403357985</v>
      </c>
      <c r="M6" s="18">
        <v>350.20865517241378</v>
      </c>
      <c r="N6" s="18">
        <f t="shared" si="3"/>
        <v>11.632310344827545</v>
      </c>
      <c r="O6" s="18">
        <f t="shared" si="4"/>
        <v>15.783618125881242</v>
      </c>
      <c r="P6" s="18">
        <v>46.033742915446474</v>
      </c>
      <c r="Q6" s="18">
        <v>223.173</v>
      </c>
      <c r="R6" s="18">
        <v>407.52499999999998</v>
      </c>
      <c r="T6" s="17">
        <f t="shared" ca="1" si="5"/>
        <v>2.4493150684931506</v>
      </c>
      <c r="U6" s="18">
        <f t="shared" si="0"/>
        <v>350.20865517241378</v>
      </c>
      <c r="V6" s="18">
        <f t="shared" si="6"/>
        <v>407.52499999999998</v>
      </c>
      <c r="W6" s="18">
        <f t="shared" si="7"/>
        <v>223.173</v>
      </c>
      <c r="X6" s="18">
        <f t="shared" si="8"/>
        <v>380.93242173426552</v>
      </c>
    </row>
    <row r="7" spans="2:25" x14ac:dyDescent="0.25">
      <c r="C7" s="5" t="str">
        <v>VW 5 1/8 PERP nc-23</v>
      </c>
      <c r="D7" s="22" t="str">
        <v>XS0968913342</v>
      </c>
      <c r="E7" s="5" t="str" cm="1">
        <f t="array" ref="E7">_xll.BDP(D7&amp;" Corp","crncy")</f>
        <v>EUR</v>
      </c>
      <c r="F7" s="21">
        <v>3986000</v>
      </c>
      <c r="G7" s="25">
        <v>45173</v>
      </c>
      <c r="H7" s="17">
        <f t="shared" ca="1" si="1"/>
        <v>3.1726027397260275</v>
      </c>
      <c r="I7" s="17">
        <f t="shared" si="2"/>
        <v>0.72328767123287674</v>
      </c>
      <c r="J7" s="18">
        <v>351.94625452557585</v>
      </c>
      <c r="K7" s="18">
        <f t="shared" si="9"/>
        <v>-29.384842995014878</v>
      </c>
      <c r="L7" s="18">
        <f t="shared" si="10"/>
        <v>-40.626771565077384</v>
      </c>
      <c r="M7" s="18">
        <v>336.66268965517241</v>
      </c>
      <c r="N7" s="18">
        <f t="shared" si="3"/>
        <v>-13.54596551724137</v>
      </c>
      <c r="O7" s="18">
        <f t="shared" si="4"/>
        <v>-18.728323537095076</v>
      </c>
      <c r="P7" s="18">
        <v>31.833704268211712</v>
      </c>
      <c r="Q7" s="18">
        <v>246.36500000000001</v>
      </c>
      <c r="R7" s="18">
        <v>386.84399999999999</v>
      </c>
      <c r="T7" s="17">
        <f t="shared" ca="1" si="5"/>
        <v>3.1726027397260275</v>
      </c>
      <c r="U7" s="18">
        <f t="shared" si="0"/>
        <v>336.66268965517241</v>
      </c>
      <c r="V7" s="18">
        <f t="shared" si="6"/>
        <v>386.84399999999999</v>
      </c>
      <c r="W7" s="18">
        <f t="shared" si="7"/>
        <v>246.36500000000001</v>
      </c>
      <c r="X7" s="18">
        <f t="shared" si="8"/>
        <v>351.54757873925064</v>
      </c>
    </row>
    <row r="8" spans="2:25" x14ac:dyDescent="0.25">
      <c r="C8" s="5" t="str">
        <v>VW 3 3/8 PERP nc-24</v>
      </c>
      <c r="D8" s="22" t="str">
        <v>XS1799938995</v>
      </c>
      <c r="E8" s="5" t="str" cm="1">
        <f t="array" ref="E8">_xll.BDP(D8&amp;" Corp","crncy")</f>
        <v>EUR</v>
      </c>
      <c r="F8" s="21">
        <v>1000000</v>
      </c>
      <c r="G8" s="25">
        <v>45470</v>
      </c>
      <c r="H8" s="17">
        <f t="shared" ca="1" si="1"/>
        <v>3.9863013698630136</v>
      </c>
      <c r="I8" s="17">
        <f t="shared" si="2"/>
        <v>0.81369863013698629</v>
      </c>
      <c r="J8" s="18">
        <v>391.24125044223609</v>
      </c>
      <c r="K8" s="18">
        <f t="shared" si="9"/>
        <v>38.810050469397993</v>
      </c>
      <c r="L8" s="18">
        <f t="shared" si="10"/>
        <v>47.695853270472284</v>
      </c>
      <c r="M8" s="18">
        <v>378.07834482758631</v>
      </c>
      <c r="N8" s="18">
        <f t="shared" si="3"/>
        <v>41.415655172413892</v>
      </c>
      <c r="O8" s="18">
        <f t="shared" si="4"/>
        <v>50.898027400441315</v>
      </c>
      <c r="P8" s="18">
        <v>33.904321596933272</v>
      </c>
      <c r="Q8" s="18">
        <v>282.30399999999997</v>
      </c>
      <c r="R8" s="18">
        <v>430.93700000000001</v>
      </c>
      <c r="T8" s="17">
        <f t="shared" ca="1" si="5"/>
        <v>3.9863013698630136</v>
      </c>
      <c r="U8" s="18">
        <f t="shared" si="0"/>
        <v>378.07834482758631</v>
      </c>
      <c r="V8" s="18">
        <f t="shared" si="6"/>
        <v>430.93700000000001</v>
      </c>
      <c r="W8" s="18">
        <f t="shared" si="7"/>
        <v>282.30399999999997</v>
      </c>
      <c r="X8" s="18">
        <f t="shared" si="8"/>
        <v>390.35762920864863</v>
      </c>
    </row>
    <row r="9" spans="2:25" x14ac:dyDescent="0.25">
      <c r="C9" s="5" t="str">
        <v>VW 3 1/2 PERP nc-25</v>
      </c>
      <c r="D9" s="22" t="str">
        <v>XS2187689034</v>
      </c>
      <c r="E9" s="5" t="str" cm="1">
        <f t="array" ref="E9">_xll.BDP(D9&amp;" Corp","crncy")</f>
        <v>EUR</v>
      </c>
      <c r="F9" s="21" t="s">
        <v>149</v>
      </c>
      <c r="G9" s="25">
        <v>45825</v>
      </c>
      <c r="H9" s="17">
        <f t="shared" ca="1" si="1"/>
        <v>4.9589041095890414</v>
      </c>
      <c r="I9" s="17">
        <f t="shared" si="2"/>
        <v>0.9726027397260274</v>
      </c>
      <c r="J9" s="18">
        <v>401.57907944186633</v>
      </c>
      <c r="K9" s="18">
        <f t="shared" si="9"/>
        <v>9.8063815623763162</v>
      </c>
      <c r="L9" s="18">
        <f t="shared" si="10"/>
        <v>10.082617662724944</v>
      </c>
      <c r="M9" s="18">
        <v>401.90826666666663</v>
      </c>
      <c r="N9" s="18">
        <f t="shared" si="3"/>
        <v>23.829921839080328</v>
      </c>
      <c r="O9" s="18">
        <f t="shared" si="4"/>
        <v>24.501187242998082</v>
      </c>
      <c r="P9" s="18">
        <v>14.806044361614461</v>
      </c>
      <c r="Q9" s="18">
        <v>373.50099999999998</v>
      </c>
      <c r="R9" s="18">
        <v>419.97300000000001</v>
      </c>
      <c r="T9" s="17">
        <f t="shared" ca="1" si="5"/>
        <v>4.9589041095890414</v>
      </c>
      <c r="U9" s="18">
        <f t="shared" si="0"/>
        <v>401.90826666666663</v>
      </c>
      <c r="V9" s="18">
        <f t="shared" si="6"/>
        <v>419.97300000000001</v>
      </c>
      <c r="W9" s="18">
        <f t="shared" si="7"/>
        <v>373.50099999999998</v>
      </c>
      <c r="X9" s="18">
        <f t="shared" si="8"/>
        <v>400.16401077102495</v>
      </c>
    </row>
    <row r="10" spans="2:25" x14ac:dyDescent="0.25">
      <c r="C10" s="5" t="str">
        <v>VW 4 5/8 PERP nc-26</v>
      </c>
      <c r="D10" s="22" t="str">
        <v>XS1048428442</v>
      </c>
      <c r="E10" s="5" t="str" cm="1">
        <f t="array" ref="E10">_xll.BDP(D10&amp;" Corp","crncy")</f>
        <v>EUR</v>
      </c>
      <c r="F10" s="21">
        <v>1969000</v>
      </c>
      <c r="G10" s="25">
        <v>46105</v>
      </c>
      <c r="H10" s="17">
        <f t="shared" ca="1" si="1"/>
        <v>5.7260273972602738</v>
      </c>
      <c r="I10" s="17">
        <f t="shared" si="2"/>
        <v>0.76712328767123283</v>
      </c>
      <c r="J10" s="18">
        <v>400.39196720036773</v>
      </c>
      <c r="K10" s="18">
        <f t="shared" si="9"/>
        <v>-1.0719199338888643</v>
      </c>
      <c r="L10" s="18">
        <f t="shared" si="10"/>
        <v>-1.3973241995336982</v>
      </c>
      <c r="M10" s="18">
        <v>386.96065517241374</v>
      </c>
      <c r="N10" s="18">
        <f t="shared" si="3"/>
        <v>-14.947611494252897</v>
      </c>
      <c r="O10" s="18">
        <f t="shared" si="4"/>
        <v>-19.485279269293954</v>
      </c>
      <c r="P10" s="18">
        <v>28.484152826334682</v>
      </c>
      <c r="Q10" s="18">
        <v>306.81900000000002</v>
      </c>
      <c r="R10" s="18">
        <v>427.00599999999997</v>
      </c>
      <c r="T10" s="17">
        <f t="shared" ca="1" si="5"/>
        <v>5.7260273972602738</v>
      </c>
      <c r="U10" s="18">
        <f t="shared" si="0"/>
        <v>386.96065517241374</v>
      </c>
      <c r="V10" s="18">
        <f t="shared" si="6"/>
        <v>427.00599999999997</v>
      </c>
      <c r="W10" s="18">
        <f t="shared" si="7"/>
        <v>306.81900000000002</v>
      </c>
      <c r="X10" s="18">
        <f t="shared" si="8"/>
        <v>399.09209083713608</v>
      </c>
    </row>
    <row r="11" spans="2:25" x14ac:dyDescent="0.25">
      <c r="C11" s="5" t="str">
        <v>VW 3 7/8 PERP nc-27</v>
      </c>
      <c r="D11" s="22" t="str">
        <v>XS1629774230</v>
      </c>
      <c r="E11" s="5" t="str" cm="1">
        <f t="array" ref="E11">_xll.BDP(D11&amp;" Corp","crncy")</f>
        <v>EUR</v>
      </c>
      <c r="F11" s="21">
        <v>700000</v>
      </c>
      <c r="G11" s="25">
        <v>46552</v>
      </c>
      <c r="H11" s="17">
        <f t="shared" ca="1" si="1"/>
        <v>6.9506849315068493</v>
      </c>
      <c r="I11" s="17">
        <f t="shared" si="2"/>
        <v>1.2246575342465753</v>
      </c>
      <c r="J11" s="18">
        <v>409.44084722410611</v>
      </c>
      <c r="K11" s="18">
        <f t="shared" si="9"/>
        <v>9.3094628324914197</v>
      </c>
      <c r="L11" s="18">
        <f t="shared" si="10"/>
        <v>7.601686652929236</v>
      </c>
      <c r="M11" s="18">
        <v>406.04348275862071</v>
      </c>
      <c r="N11" s="18">
        <f t="shared" si="3"/>
        <v>19.082827586206975</v>
      </c>
      <c r="O11" s="18">
        <f t="shared" si="4"/>
        <v>15.582174650929632</v>
      </c>
      <c r="P11" s="18">
        <v>27.701966416304263</v>
      </c>
      <c r="Q11" s="18">
        <v>332.053</v>
      </c>
      <c r="R11" s="18">
        <v>452.33100000000002</v>
      </c>
      <c r="T11" s="17">
        <f t="shared" ca="1" si="5"/>
        <v>6.9506849315068493</v>
      </c>
      <c r="U11" s="18">
        <f t="shared" si="0"/>
        <v>406.04348275862071</v>
      </c>
      <c r="V11" s="18">
        <f t="shared" si="6"/>
        <v>452.33100000000002</v>
      </c>
      <c r="W11" s="18">
        <f t="shared" si="7"/>
        <v>332.053</v>
      </c>
      <c r="X11" s="18">
        <f t="shared" si="8"/>
        <v>408.4015536696275</v>
      </c>
    </row>
    <row r="12" spans="2:25" x14ac:dyDescent="0.25">
      <c r="C12" s="5" t="str">
        <v>VW 4 5/8 PERP nc-28</v>
      </c>
      <c r="D12" s="22" t="str">
        <v>XS1799939027</v>
      </c>
      <c r="E12" s="5" t="str" cm="1">
        <f t="array" ref="E12">_xll.BDP(D12&amp;" Corp","crncy")</f>
        <v>EUR</v>
      </c>
      <c r="F12" s="21">
        <v>1900000</v>
      </c>
      <c r="G12" s="25">
        <v>46931</v>
      </c>
      <c r="H12" s="17">
        <f t="shared" ca="1" si="1"/>
        <v>7.9890410958904106</v>
      </c>
      <c r="I12" s="17">
        <f t="shared" si="2"/>
        <v>1.0383561643835617</v>
      </c>
      <c r="J12" s="18">
        <v>420.630072284883</v>
      </c>
      <c r="K12" s="18">
        <f t="shared" si="9"/>
        <v>11.981386918419787</v>
      </c>
      <c r="L12" s="18">
        <f t="shared" si="10"/>
        <v>11.538802705074465</v>
      </c>
      <c r="M12" s="18">
        <v>411.21410344827586</v>
      </c>
      <c r="N12" s="18">
        <f t="shared" si="3"/>
        <v>5.1706206896551521</v>
      </c>
      <c r="O12" s="18">
        <f t="shared" si="4"/>
        <v>4.9796215085069404</v>
      </c>
      <c r="P12" s="18">
        <v>24.481325501498993</v>
      </c>
      <c r="Q12" s="18">
        <v>348.66</v>
      </c>
      <c r="R12" s="18">
        <v>450.30500000000001</v>
      </c>
      <c r="T12" s="17">
        <f t="shared" ca="1" si="5"/>
        <v>7.9890410958904106</v>
      </c>
      <c r="U12" s="18">
        <f t="shared" si="0"/>
        <v>411.21410344827586</v>
      </c>
      <c r="V12" s="18">
        <f t="shared" si="6"/>
        <v>450.30500000000001</v>
      </c>
      <c r="W12" s="18">
        <f t="shared" si="7"/>
        <v>348.66</v>
      </c>
      <c r="X12" s="18">
        <f t="shared" si="8"/>
        <v>420.38294058804729</v>
      </c>
    </row>
    <row r="13" spans="2:25" x14ac:dyDescent="0.25">
      <c r="C13" s="5" t="str">
        <v>VW 3 7/8 PERP nc-29</v>
      </c>
      <c r="D13" s="22" t="str">
        <v>XS2187689380</v>
      </c>
      <c r="E13" s="5" t="str" cm="1">
        <f t="array" ref="E13">_xll.BDP(D13&amp;" Corp","crncy")</f>
        <v>EUR</v>
      </c>
      <c r="F13" s="21">
        <v>1500000</v>
      </c>
      <c r="G13" s="25">
        <v>47286</v>
      </c>
      <c r="H13" s="17">
        <f t="shared" ca="1" si="1"/>
        <v>8.9616438356164387</v>
      </c>
      <c r="I13" s="17">
        <f t="shared" si="2"/>
        <v>0.9726027397260274</v>
      </c>
      <c r="J13" s="18">
        <v>425.52170694487688</v>
      </c>
      <c r="K13" s="18">
        <f t="shared" si="9"/>
        <v>3.4325365810567519</v>
      </c>
      <c r="L13" s="18">
        <f t="shared" si="10"/>
        <v>3.5292277523541253</v>
      </c>
      <c r="M13" s="18">
        <v>426.46746666666661</v>
      </c>
      <c r="N13" s="18">
        <f t="shared" si="3"/>
        <v>15.253363218390746</v>
      </c>
      <c r="O13" s="18">
        <f t="shared" si="4"/>
        <v>15.683035421725696</v>
      </c>
      <c r="P13" s="18">
        <v>12.162240135921074</v>
      </c>
      <c r="Q13" s="18">
        <v>405.67700000000002</v>
      </c>
      <c r="R13" s="18">
        <v>442.27</v>
      </c>
      <c r="T13" s="17">
        <f t="shared" ca="1" si="5"/>
        <v>8.9616438356164387</v>
      </c>
      <c r="U13" s="18">
        <f t="shared" si="0"/>
        <v>426.46746666666661</v>
      </c>
      <c r="V13" s="18">
        <f t="shared" si="6"/>
        <v>442.27</v>
      </c>
      <c r="W13" s="18">
        <f t="shared" si="7"/>
        <v>405.67700000000002</v>
      </c>
      <c r="X13" s="18">
        <f t="shared" si="8"/>
        <v>423.81547716910404</v>
      </c>
    </row>
    <row r="14" spans="2:25" x14ac:dyDescent="0.25">
      <c r="C14" s="5" t="str">
        <v>VW 3 1/2 PERP nc-30</v>
      </c>
      <c r="D14" s="22" t="str">
        <v>XS1206541366</v>
      </c>
      <c r="E14" s="5" t="str" cm="1">
        <f t="array" ref="E14">_xll.BDP(D14&amp;" Corp","crncy")</f>
        <v>EUR</v>
      </c>
      <c r="F14" s="21">
        <v>-3338000</v>
      </c>
      <c r="G14" s="25">
        <v>47562</v>
      </c>
      <c r="H14" s="17">
        <f t="shared" ca="1" si="1"/>
        <v>9.7178082191780817</v>
      </c>
      <c r="I14" s="17">
        <f t="shared" si="2"/>
        <v>0.75616438356164384</v>
      </c>
      <c r="J14" s="18">
        <v>398.55349865938547</v>
      </c>
      <c r="K14" s="18">
        <f t="shared" si="9"/>
        <v>-26.815206223478071</v>
      </c>
      <c r="L14" s="18">
        <f t="shared" si="10"/>
        <v>-35.46213866510687</v>
      </c>
      <c r="M14" s="18">
        <v>377.72010344827584</v>
      </c>
      <c r="N14" s="18">
        <f t="shared" si="3"/>
        <v>-48.747363218390774</v>
      </c>
      <c r="O14" s="18">
        <f t="shared" si="4"/>
        <v>-64.466621647509541</v>
      </c>
      <c r="P14" s="18">
        <v>20.571589160686134</v>
      </c>
      <c r="Q14" s="18">
        <v>319.91500000000002</v>
      </c>
      <c r="R14" s="18">
        <v>400.65100000000001</v>
      </c>
      <c r="T14" s="17">
        <f t="shared" ca="1" si="5"/>
        <v>9.7178082191780817</v>
      </c>
      <c r="U14" s="18">
        <f t="shared" si="0"/>
        <v>377.72010344827584</v>
      </c>
      <c r="V14" s="18">
        <f t="shared" si="6"/>
        <v>400.65100000000001</v>
      </c>
      <c r="W14" s="18">
        <f t="shared" si="7"/>
        <v>319.91500000000002</v>
      </c>
      <c r="X14" s="18">
        <f t="shared" si="8"/>
        <v>397.00027094562597</v>
      </c>
    </row>
    <row r="16" spans="2:25" x14ac:dyDescent="0.25">
      <c r="O16" s="23">
        <v>7</v>
      </c>
      <c r="T16" s="23">
        <v>25</v>
      </c>
      <c r="Y16" s="23">
        <v>30</v>
      </c>
    </row>
    <row r="17" spans="1:29" x14ac:dyDescent="0.25">
      <c r="O17" s="8">
        <f ca="1">WORKDAY(TODAY(),-O16)</f>
        <v>44006</v>
      </c>
      <c r="T17" s="8">
        <f ca="1">WORKDAY(TODAY(),-T16)</f>
        <v>43980</v>
      </c>
    </row>
    <row r="18" spans="1:29" x14ac:dyDescent="0.25">
      <c r="O18" s="25"/>
      <c r="T18" s="25"/>
    </row>
    <row r="20" spans="1:29" ht="33" x14ac:dyDescent="0.3">
      <c r="B20" s="19" t="s">
        <v>11</v>
      </c>
      <c r="C20" s="19" t="s">
        <v>12</v>
      </c>
      <c r="D20" s="19" t="s">
        <v>9</v>
      </c>
      <c r="E20" s="19" t="s">
        <v>10</v>
      </c>
      <c r="F20" s="19" t="s">
        <v>13</v>
      </c>
      <c r="G20" s="19" t="s">
        <v>14</v>
      </c>
      <c r="H20" s="19" t="s">
        <v>15</v>
      </c>
      <c r="I20" s="20" t="s">
        <v>16</v>
      </c>
      <c r="J20" s="19" t="s">
        <v>3</v>
      </c>
      <c r="K20" s="19" t="s">
        <v>4</v>
      </c>
      <c r="L20" s="19" t="s">
        <v>150</v>
      </c>
      <c r="M20" s="19" t="s">
        <v>151</v>
      </c>
      <c r="N20" s="19" t="s">
        <v>152</v>
      </c>
      <c r="O20" s="19" t="s">
        <v>153</v>
      </c>
      <c r="P20" s="19" t="s">
        <v>154</v>
      </c>
      <c r="Q20" s="19" t="s">
        <v>155</v>
      </c>
      <c r="R20" s="19" t="s">
        <v>156</v>
      </c>
      <c r="S20" s="19" t="s">
        <v>157</v>
      </c>
      <c r="T20" s="19" t="s">
        <v>28</v>
      </c>
      <c r="U20" s="19" t="s">
        <v>29</v>
      </c>
      <c r="V20" s="19" t="s">
        <v>158</v>
      </c>
      <c r="W20" s="19" t="s">
        <v>159</v>
      </c>
      <c r="X20" s="19" t="s">
        <v>160</v>
      </c>
      <c r="Y20" s="19" t="s">
        <v>412</v>
      </c>
      <c r="Z20" s="19" t="s">
        <v>414</v>
      </c>
      <c r="AA20" s="19" t="s">
        <v>417</v>
      </c>
      <c r="AB20" s="19" t="s">
        <v>418</v>
      </c>
      <c r="AC20" s="5" t="s">
        <v>454</v>
      </c>
    </row>
    <row r="21" spans="1:29" x14ac:dyDescent="0.25">
      <c r="A21" s="5" t="s">
        <v>161</v>
      </c>
      <c r="B21" s="11" t="str">
        <f t="shared" ref="B21:B30" si="11">C4</f>
        <v>VW 3 3/4 PERP nc-21</v>
      </c>
      <c r="C21" s="11" t="str">
        <f t="shared" ref="C21:C30" si="12">C5</f>
        <v>VW 2 1/2 PERP nc-22</v>
      </c>
      <c r="D21" s="22" t="str">
        <f>_xlfn.XLOOKUP(B21,bonds[unique lookup],bonds[ID_ISIN])</f>
        <v>XS1048428012</v>
      </c>
      <c r="E21" s="22" t="str">
        <f>_xlfn.XLOOKUP(C21,bonds[unique lookup],bonds[ID_ISIN])</f>
        <v>XS1206540806</v>
      </c>
      <c r="F21" s="8">
        <f>_xlfn.XLOOKUP(B21,bonds[unique lookup],bonds[nxt_call_dt])</f>
        <v>44279</v>
      </c>
      <c r="G21" s="8">
        <f>_xlfn.XLOOKUP(C21,bonds[unique lookup],bonds[nxt_call_dt])</f>
        <v>44640</v>
      </c>
      <c r="H21" s="17">
        <f>YEARFRAC(F21,G21)</f>
        <v>0.98888888888888893</v>
      </c>
      <c r="I21" s="12" t="s">
        <v>35</v>
      </c>
      <c r="J21" s="18" cm="1">
        <f t="array" ref="J21">_xll.BDP(D21&amp;" Corp",$I21)</f>
        <v>232.80150999774713</v>
      </c>
      <c r="K21" s="18" cm="1">
        <f t="array" ref="K21">_xll.BDP(E21&amp;" Corp",$I21)</f>
        <v>379.42997942797689</v>
      </c>
      <c r="L21" s="18">
        <f>K21-J21</f>
        <v>146.62846943022976</v>
      </c>
      <c r="M21" s="18">
        <f>L21/H21</f>
        <v>148.27598032270424</v>
      </c>
      <c r="N21" s="12" t="s">
        <v>36</v>
      </c>
      <c r="O21" s="18" cm="1">
        <f t="array" aca="1" ref="O21" ca="1">_xll.BDH(D21&amp;" Corp",$N21,$O$17)</f>
        <v>272.387</v>
      </c>
      <c r="P21" s="18" cm="1">
        <f t="array" aca="1" ref="P21" ca="1">_xll.BDH(E21&amp;" Corp",$N21,$O$17)</f>
        <v>379.03100000000001</v>
      </c>
      <c r="Q21" s="18">
        <f t="shared" ref="Q21:Q27" ca="1" si="13">IFERROR(P21-O21,"-")</f>
        <v>106.64400000000001</v>
      </c>
      <c r="R21" s="18">
        <f ca="1">IFERROR(Q21/H21,"-")</f>
        <v>107.84224719101124</v>
      </c>
      <c r="S21" s="18">
        <f ca="1">IFERROR(M21-R21,"-")</f>
        <v>40.433733131693003</v>
      </c>
      <c r="T21" s="18" cm="1">
        <f t="array" aca="1" ref="T21" ca="1">IFERROR(_xll.BDH(D21&amp;" Corp",$N21,$T$17)*1,"-")</f>
        <v>465.40800000000002</v>
      </c>
      <c r="U21" s="18" cm="1">
        <f t="array" aca="1" ref="U21" ca="1">_xll.BDH(E21&amp;" Corp",$N21,$T$17)</f>
        <v>353.47800000000001</v>
      </c>
      <c r="V21" s="18">
        <f ca="1">IFERROR(U21-T21,"-")</f>
        <v>-111.93</v>
      </c>
      <c r="W21" s="18">
        <f ca="1">IFERROR(V21/H21,"-")</f>
        <v>-113.18764044943821</v>
      </c>
      <c r="X21" s="18">
        <f ca="1">IFERROR(M21-W21,"-")</f>
        <v>261.46362077214246</v>
      </c>
      <c r="Y21" s="18" cm="1">
        <f t="array" ref="Y21">_xll.BDP(D21&amp;" Corp","interval_avg","calc_interval=30d","market_data_override=sp210")</f>
        <v>311.34055172413792</v>
      </c>
    </row>
    <row r="22" spans="1:29" x14ac:dyDescent="0.25">
      <c r="A22" s="5" t="s">
        <v>161</v>
      </c>
      <c r="B22" s="11" t="str">
        <f t="shared" si="11"/>
        <v>VW 2 1/2 PERP nc-22</v>
      </c>
      <c r="C22" s="11" t="str">
        <f t="shared" si="12"/>
        <v>VW 2.7 PERP nc-22</v>
      </c>
      <c r="D22" s="22" t="str">
        <f>_xlfn.XLOOKUP(B22,bonds[unique lookup],bonds[ID_ISIN])</f>
        <v>XS1206540806</v>
      </c>
      <c r="E22" s="22" t="str">
        <f>_xlfn.XLOOKUP(C22,bonds[unique lookup],bonds[ID_ISIN])</f>
        <v>XS1629658755</v>
      </c>
      <c r="F22" s="8">
        <f>_xlfn.XLOOKUP(B22,bonds[unique lookup],bonds[nxt_call_dt])</f>
        <v>44640</v>
      </c>
      <c r="G22" s="8">
        <f>_xlfn.XLOOKUP(C22,bonds[unique lookup],bonds[nxt_call_dt])</f>
        <v>44909</v>
      </c>
      <c r="H22" s="17">
        <f>YEARFRAC(F22,G22)</f>
        <v>0.73333333333333328</v>
      </c>
      <c r="I22" s="12" t="s">
        <v>35</v>
      </c>
      <c r="J22" s="18" cm="1">
        <f t="array" ref="J22">_xll.BDP(D22&amp;" Corp",$I22)</f>
        <v>379.42997942797689</v>
      </c>
      <c r="K22" s="18" cm="1">
        <f t="array" ref="K22">_xll.BDP(E22&amp;" Corp",$I22)</f>
        <v>381.39226707444124</v>
      </c>
      <c r="L22" s="18">
        <f>K22-J22</f>
        <v>1.9622876464643468</v>
      </c>
      <c r="M22" s="18">
        <f>L22/H22</f>
        <v>2.6758467906332006</v>
      </c>
      <c r="N22" s="12" t="s">
        <v>36</v>
      </c>
      <c r="O22" s="18" cm="1">
        <f t="array" aca="1" ref="O22" ca="1">_xll.BDH(D22&amp;" Corp",$N22,$O$17)</f>
        <v>379.03100000000001</v>
      </c>
      <c r="P22" s="18" cm="1">
        <f t="array" aca="1" ref="P22" ca="1">_xll.BDH(E22&amp;" Corp",$N22,$O$17)</f>
        <v>384.67200000000003</v>
      </c>
      <c r="Q22" s="18">
        <f t="shared" ca="1" si="13"/>
        <v>5.6410000000000196</v>
      </c>
      <c r="R22" s="18">
        <f t="shared" ref="R22:R30" ca="1" si="14">IFERROR(Q22/H22,"-")</f>
        <v>7.6922727272727549</v>
      </c>
      <c r="S22" s="18">
        <f t="shared" ref="S22:S30" ca="1" si="15">IFERROR(M22-R22,"-")</f>
        <v>-5.0164259366395543</v>
      </c>
      <c r="T22" s="18" cm="1">
        <f t="array" aca="1" ref="T22" ca="1">_xll.BDH(D22&amp;" Corp",$N22,$T$17)</f>
        <v>353.47800000000001</v>
      </c>
      <c r="U22" s="18" cm="1">
        <f t="array" aca="1" ref="U22" ca="1">_xll.BDH(E22&amp;" Corp",$N22,$T$17)</f>
        <v>365.14400000000001</v>
      </c>
      <c r="V22" s="18">
        <f t="shared" ref="V22:V30" ca="1" si="16">IFERROR(U22-T22,"-")</f>
        <v>11.665999999999997</v>
      </c>
      <c r="W22" s="18">
        <f t="shared" ref="W22:W30" ca="1" si="17">IFERROR(V22/H22,"-")</f>
        <v>15.908181818181815</v>
      </c>
      <c r="X22" s="18">
        <f t="shared" ref="X22:X30" ca="1" si="18">IFERROR(M22-W22,"-")</f>
        <v>-13.232335027548615</v>
      </c>
      <c r="Y22" s="18" cm="1">
        <f t="array" ref="Y22">_xll.BDP(D22&amp;" Corp","interval_avg","calc_interval=30d","market_data_override=sp210")</f>
        <v>338.57634482758624</v>
      </c>
    </row>
    <row r="23" spans="1:29" x14ac:dyDescent="0.25">
      <c r="A23" s="5" t="s">
        <v>161</v>
      </c>
      <c r="B23" s="11" t="str">
        <f t="shared" si="11"/>
        <v>VW 2.7 PERP nc-22</v>
      </c>
      <c r="C23" s="11" t="str">
        <f t="shared" si="12"/>
        <v>VW 5 1/8 PERP nc-23</v>
      </c>
      <c r="D23" s="22" t="str">
        <f>_xlfn.XLOOKUP(B23,bonds[unique lookup],bonds[ID_ISIN])</f>
        <v>XS1629658755</v>
      </c>
      <c r="E23" s="22" t="str">
        <f>_xlfn.XLOOKUP(C23,bonds[unique lookup],bonds[ID_ISIN])</f>
        <v>XS0968913342</v>
      </c>
      <c r="F23" s="8">
        <f>_xlfn.XLOOKUP(B23,bonds[unique lookup],bonds[nxt_call_dt])</f>
        <v>44909</v>
      </c>
      <c r="G23" s="8">
        <f>_xlfn.XLOOKUP(C23,bonds[unique lookup],bonds[nxt_call_dt])</f>
        <v>45173</v>
      </c>
      <c r="H23" s="17">
        <f>YEARFRAC(F23,G23)</f>
        <v>0.72222222222222221</v>
      </c>
      <c r="I23" s="12" t="s">
        <v>35</v>
      </c>
      <c r="J23" s="18" cm="1">
        <f t="array" ref="J23">_xll.BDP(D23&amp;" Corp",$I23)</f>
        <v>381.39226707444124</v>
      </c>
      <c r="K23" s="18" cm="1">
        <f t="array" ref="K23">_xll.BDP(E23&amp;" Corp",$I23)</f>
        <v>351.94625452557585</v>
      </c>
      <c r="L23" s="18">
        <f>K23-J23</f>
        <v>-29.446012548865383</v>
      </c>
      <c r="M23" s="18">
        <f>L23/H23</f>
        <v>-40.771401990736685</v>
      </c>
      <c r="N23" s="12" t="s">
        <v>36</v>
      </c>
      <c r="O23" s="18" cm="1">
        <f t="array" aca="1" ref="O23" ca="1">_xll.BDH(D23&amp;" Corp",$N23,$O$17)</f>
        <v>384.67200000000003</v>
      </c>
      <c r="P23" s="18" cm="1">
        <f t="array" aca="1" ref="P23" ca="1">_xll.BDH(E23&amp;" Corp",$N23,$O$17)</f>
        <v>349.89800000000002</v>
      </c>
      <c r="Q23" s="18">
        <f t="shared" ca="1" si="13"/>
        <v>-34.774000000000001</v>
      </c>
      <c r="R23" s="18">
        <f t="shared" ca="1" si="14"/>
        <v>-48.14861538461539</v>
      </c>
      <c r="S23" s="18">
        <f t="shared" ca="1" si="15"/>
        <v>7.377213393878705</v>
      </c>
      <c r="T23" s="18" cm="1">
        <f t="array" aca="1" ref="T23" ca="1">_xll.BDH(D23&amp;" Corp",$N23,$T$17)</f>
        <v>365.14400000000001</v>
      </c>
      <c r="U23" s="18" cm="1">
        <f t="array" aca="1" ref="U23" ca="1">_xll.BDH(E23&amp;" Corp",$N23,$T$17)</f>
        <v>361.24</v>
      </c>
      <c r="V23" s="18">
        <f t="shared" ca="1" si="16"/>
        <v>-3.9039999999999964</v>
      </c>
      <c r="W23" s="18">
        <f t="shared" ca="1" si="17"/>
        <v>-5.4055384615384563</v>
      </c>
      <c r="X23" s="18">
        <f t="shared" ca="1" si="18"/>
        <v>-35.365863529198229</v>
      </c>
      <c r="Y23" s="18" cm="1">
        <f t="array" ref="Y23">_xll.BDP(D23&amp;" Corp","interval_avg","calc_interval=30d","market_data_override=sp210")</f>
        <v>350.20865517241378</v>
      </c>
    </row>
    <row r="24" spans="1:29" x14ac:dyDescent="0.25">
      <c r="A24" s="5" t="s">
        <v>161</v>
      </c>
      <c r="B24" s="11" t="str">
        <f t="shared" si="11"/>
        <v>VW 5 1/8 PERP nc-23</v>
      </c>
      <c r="C24" s="11" t="str">
        <f t="shared" si="12"/>
        <v>VW 3 3/8 PERP nc-24</v>
      </c>
      <c r="D24" s="22" t="str">
        <f>_xlfn.XLOOKUP(B24,bonds[unique lookup],bonds[ID_ISIN])</f>
        <v>XS0968913342</v>
      </c>
      <c r="E24" s="22" t="str">
        <f>_xlfn.XLOOKUP(C24,bonds[unique lookup],bonds[ID_ISIN])</f>
        <v>XS1799938995</v>
      </c>
      <c r="F24" s="8">
        <f>_xlfn.XLOOKUP(B24,bonds[unique lookup],bonds[nxt_call_dt])</f>
        <v>45173</v>
      </c>
      <c r="G24" s="8">
        <f>_xlfn.XLOOKUP(C24,bonds[unique lookup],bonds[nxt_call_dt])</f>
        <v>45470</v>
      </c>
      <c r="H24" s="17">
        <f>YEARFRAC(F24,G24)</f>
        <v>0.81388888888888888</v>
      </c>
      <c r="I24" s="12" t="s">
        <v>35</v>
      </c>
      <c r="J24" s="18" cm="1">
        <f t="array" ref="J24">_xll.BDP(D24&amp;" Corp",$I24)</f>
        <v>351.94625452557585</v>
      </c>
      <c r="K24" s="18" cm="1">
        <f t="array" ref="K24">_xll.BDP(E24&amp;" Corp",$I24)</f>
        <v>391.24125044223609</v>
      </c>
      <c r="L24" s="18">
        <f>K24-J24</f>
        <v>39.294995916660241</v>
      </c>
      <c r="M24" s="18">
        <f>L24/H24</f>
        <v>48.280541058012581</v>
      </c>
      <c r="N24" s="12" t="s">
        <v>36</v>
      </c>
      <c r="O24" s="18" cm="1">
        <f t="array" aca="1" ref="O24" ca="1">_xll.BDH(D24&amp;" Corp",$N24,$O$17)</f>
        <v>349.89800000000002</v>
      </c>
      <c r="P24" s="18" cm="1">
        <f t="array" aca="1" ref="P24" ca="1">_xll.BDH(E24&amp;" Corp",$N24,$O$17)</f>
        <v>394.01299999999998</v>
      </c>
      <c r="Q24" s="18">
        <f t="shared" ca="1" si="13"/>
        <v>44.114999999999952</v>
      </c>
      <c r="R24" s="18">
        <f t="shared" ca="1" si="14"/>
        <v>54.202730375426562</v>
      </c>
      <c r="S24" s="18">
        <f t="shared" ca="1" si="15"/>
        <v>-5.9221893174139808</v>
      </c>
      <c r="T24" s="18" cm="1">
        <f t="array" aca="1" ref="T24" ca="1">_xll.BDH(D24&amp;" Corp",$N24,$T$17)</f>
        <v>361.24</v>
      </c>
      <c r="U24" s="18" cm="1">
        <f t="array" aca="1" ref="U24" ca="1">_xll.BDH(E24&amp;" Corp",$N24,$T$17)</f>
        <v>408.19</v>
      </c>
      <c r="V24" s="18">
        <f t="shared" ca="1" si="16"/>
        <v>46.949999999999989</v>
      </c>
      <c r="W24" s="18">
        <f t="shared" ca="1" si="17"/>
        <v>57.686006825938556</v>
      </c>
      <c r="X24" s="18">
        <f t="shared" ca="1" si="18"/>
        <v>-9.4054657679259748</v>
      </c>
      <c r="Y24" s="18" cm="1">
        <f t="array" ref="Y24">_xll.BDP(D24&amp;" Corp","interval_avg","calc_interval=30d","market_data_override=sp210")</f>
        <v>336.66268965517241</v>
      </c>
    </row>
    <row r="25" spans="1:29" x14ac:dyDescent="0.25">
      <c r="A25" s="5" t="s">
        <v>161</v>
      </c>
      <c r="B25" s="11" t="str">
        <f t="shared" si="11"/>
        <v>VW 3 3/8 PERP nc-24</v>
      </c>
      <c r="C25" s="11" t="str">
        <f t="shared" si="12"/>
        <v>VW 3 1/2 PERP nc-25</v>
      </c>
      <c r="D25" s="22" t="str">
        <f>_xlfn.XLOOKUP(B25,bonds[unique lookup],bonds[ID_ISIN])</f>
        <v>XS1799938995</v>
      </c>
      <c r="E25" s="22" t="str">
        <f>_xlfn.XLOOKUP(C25,bonds[unique lookup],bonds[ID_ISIN])</f>
        <v>XS2187689034</v>
      </c>
      <c r="F25" s="8">
        <f>_xlfn.XLOOKUP(B25,bonds[unique lookup],bonds[nxt_call_dt])</f>
        <v>45470</v>
      </c>
      <c r="G25" s="8">
        <f>_xlfn.XLOOKUP(C25,bonds[unique lookup],bonds[nxt_call_dt])</f>
        <v>45825</v>
      </c>
      <c r="H25" s="17">
        <f t="shared" ref="H25:H30" si="19">YEARFRAC(F25,G25)</f>
        <v>0.97222222222222221</v>
      </c>
      <c r="I25" s="12" t="s">
        <v>35</v>
      </c>
      <c r="J25" s="18" cm="1">
        <f t="array" ref="J25">_xll.BDP(D25&amp;" Corp",$I25)</f>
        <v>391.24125044223609</v>
      </c>
      <c r="K25" s="18" cm="1">
        <f t="array" ref="K25">_xll.BDP(E25&amp;" Corp",$I25)</f>
        <v>401.57907944186633</v>
      </c>
      <c r="L25" s="18">
        <f t="shared" ref="L25:L30" si="20">K25-J25</f>
        <v>10.337828999630233</v>
      </c>
      <c r="M25" s="18">
        <f t="shared" ref="M25:M30" si="21">L25/H25</f>
        <v>10.633195542476811</v>
      </c>
      <c r="N25" s="12" t="s">
        <v>36</v>
      </c>
      <c r="O25" s="18" cm="1">
        <f t="array" aca="1" ref="O25" ca="1">_xll.BDH(D25&amp;" Corp",$N25,$O$17)</f>
        <v>394.01299999999998</v>
      </c>
      <c r="P25" s="18" cm="1">
        <f t="array" aca="1" ref="P25" ca="1">_xll.BDH(E25&amp;" Corp",$N25,$O$17)</f>
        <v>413.41399999999999</v>
      </c>
      <c r="Q25" s="18">
        <f t="shared" ca="1" si="13"/>
        <v>19.40100000000001</v>
      </c>
      <c r="R25" s="18">
        <f t="shared" ca="1" si="14"/>
        <v>19.955314285714298</v>
      </c>
      <c r="S25" s="18">
        <f t="shared" ca="1" si="15"/>
        <v>-9.3221187432374872</v>
      </c>
      <c r="T25" s="18" cm="1">
        <f t="array" aca="1" ref="T25" ca="1">_xll.BDH(D25&amp;" Corp",$N25,$T$17)</f>
        <v>408.19</v>
      </c>
      <c r="U25" s="18" t="str" cm="1">
        <f t="array" aca="1" ref="U25" ca="1">_xll.BDH(E25&amp;" Corp",$N25,$T$17)</f>
        <v>#N/A N/A</v>
      </c>
      <c r="V25" s="18" t="str">
        <f t="shared" ca="1" si="16"/>
        <v>-</v>
      </c>
      <c r="W25" s="18" t="str">
        <f t="shared" ca="1" si="17"/>
        <v>-</v>
      </c>
      <c r="X25" s="18" t="str">
        <f t="shared" ca="1" si="18"/>
        <v>-</v>
      </c>
      <c r="Y25" s="18" cm="1">
        <f t="array" ref="Y25">_xll.BDP(D25&amp;" Corp","interval_avg","calc_interval=30d","market_data_override=sp210")</f>
        <v>378.07834482758631</v>
      </c>
    </row>
    <row r="26" spans="1:29" x14ac:dyDescent="0.25">
      <c r="A26" s="5" t="s">
        <v>161</v>
      </c>
      <c r="B26" s="11" t="str">
        <f t="shared" si="11"/>
        <v>VW 3 1/2 PERP nc-25</v>
      </c>
      <c r="C26" s="11" t="str">
        <f t="shared" si="12"/>
        <v>VW 4 5/8 PERP nc-26</v>
      </c>
      <c r="D26" s="22" t="str">
        <f>_xlfn.XLOOKUP(B26,bonds[unique lookup],bonds[ID_ISIN])</f>
        <v>XS2187689034</v>
      </c>
      <c r="E26" s="22" t="str">
        <f>_xlfn.XLOOKUP(C26,bonds[unique lookup],bonds[ID_ISIN])</f>
        <v>XS1048428442</v>
      </c>
      <c r="F26" s="8">
        <f>_xlfn.XLOOKUP(B26,bonds[unique lookup],bonds[nxt_call_dt])</f>
        <v>45825</v>
      </c>
      <c r="G26" s="8">
        <f>_xlfn.XLOOKUP(C26,bonds[unique lookup],bonds[nxt_call_dt])</f>
        <v>46105</v>
      </c>
      <c r="H26" s="17">
        <f t="shared" si="19"/>
        <v>0.76944444444444449</v>
      </c>
      <c r="I26" s="12" t="s">
        <v>35</v>
      </c>
      <c r="J26" s="18" cm="1">
        <f t="array" ref="J26">_xll.BDP(D26&amp;" Corp",$I26)</f>
        <v>401.57907944186633</v>
      </c>
      <c r="K26" s="18" cm="1">
        <f t="array" ref="K26">_xll.BDP(E26&amp;" Corp",$I26)</f>
        <v>400.39196720036773</v>
      </c>
      <c r="L26" s="18">
        <f t="shared" si="20"/>
        <v>-1.1871122414985962</v>
      </c>
      <c r="M26" s="18">
        <f t="shared" si="21"/>
        <v>-1.5428173535721827</v>
      </c>
      <c r="N26" s="12" t="s">
        <v>36</v>
      </c>
      <c r="O26" s="18" cm="1">
        <f t="array" aca="1" ref="O26" ca="1">_xll.BDH(D26&amp;" Corp",$N26,$O$17)</f>
        <v>413.41399999999999</v>
      </c>
      <c r="P26" s="18" cm="1">
        <f t="array" aca="1" ref="P26" ca="1">_xll.BDH(E26&amp;" Corp",$N26,$O$17)</f>
        <v>405.14100000000002</v>
      </c>
      <c r="Q26" s="18">
        <f t="shared" ca="1" si="13"/>
        <v>-8.2729999999999677</v>
      </c>
      <c r="R26" s="18">
        <f t="shared" ca="1" si="14"/>
        <v>-10.75191335740068</v>
      </c>
      <c r="S26" s="18">
        <f t="shared" ca="1" si="15"/>
        <v>9.2090960038284972</v>
      </c>
      <c r="T26" s="18" t="str" cm="1">
        <f t="array" aca="1" ref="T26" ca="1">_xll.BDH(D26&amp;" Corp",$N26,$T$17)</f>
        <v>#N/A N/A</v>
      </c>
      <c r="U26" s="18" cm="1">
        <f t="array" aca="1" ref="U26" ca="1">_xll.BDH(E26&amp;" Corp",$N26,$T$17)</f>
        <v>404.68099999999998</v>
      </c>
      <c r="V26" s="18" t="str">
        <f t="shared" ca="1" si="16"/>
        <v>-</v>
      </c>
      <c r="W26" s="18" t="str">
        <f t="shared" ca="1" si="17"/>
        <v>-</v>
      </c>
      <c r="X26" s="18" t="str">
        <f t="shared" ca="1" si="18"/>
        <v>-</v>
      </c>
      <c r="Y26" s="18" cm="1">
        <f t="array" ref="Y26">_xll.BDP(D26&amp;" Corp","interval_avg","calc_interval=30d","market_data_override=sp210")</f>
        <v>401.90826666666663</v>
      </c>
    </row>
    <row r="27" spans="1:29" x14ac:dyDescent="0.25">
      <c r="A27" s="5" t="s">
        <v>161</v>
      </c>
      <c r="B27" s="11" t="str">
        <f t="shared" si="11"/>
        <v>VW 4 5/8 PERP nc-26</v>
      </c>
      <c r="C27" s="11" t="str">
        <f t="shared" si="12"/>
        <v>VW 3 7/8 PERP nc-27</v>
      </c>
      <c r="D27" s="22" t="str">
        <f>_xlfn.XLOOKUP(B27,bonds[unique lookup],bonds[ID_ISIN])</f>
        <v>XS1048428442</v>
      </c>
      <c r="E27" s="22" t="str">
        <f>_xlfn.XLOOKUP(C27,bonds[unique lookup],bonds[ID_ISIN])</f>
        <v>XS1629774230</v>
      </c>
      <c r="F27" s="8">
        <f>_xlfn.XLOOKUP(B27,bonds[unique lookup],bonds[nxt_call_dt])</f>
        <v>46105</v>
      </c>
      <c r="G27" s="8">
        <f>_xlfn.XLOOKUP(C27,bonds[unique lookup],bonds[nxt_call_dt])</f>
        <v>46552</v>
      </c>
      <c r="H27" s="17">
        <f t="shared" si="19"/>
        <v>1.2222222222222223</v>
      </c>
      <c r="I27" s="12" t="s">
        <v>35</v>
      </c>
      <c r="J27" s="18" cm="1">
        <f t="array" ref="J27">_xll.BDP(D27&amp;" Corp",$I27)</f>
        <v>400.39196720036773</v>
      </c>
      <c r="K27" s="18" cm="1">
        <f t="array" ref="K27">_xll.BDP(E27&amp;" Corp",$I27)</f>
        <v>409.44084722410611</v>
      </c>
      <c r="L27" s="18">
        <f t="shared" si="20"/>
        <v>9.0488800237383771</v>
      </c>
      <c r="M27" s="18">
        <f t="shared" si="21"/>
        <v>7.4036291103313987</v>
      </c>
      <c r="N27" s="12" t="s">
        <v>36</v>
      </c>
      <c r="O27" s="18" cm="1">
        <f t="array" aca="1" ref="O27" ca="1">_xll.BDH(D27&amp;" Corp",$N27,$O$17)</f>
        <v>405.14100000000002</v>
      </c>
      <c r="P27" s="18" cm="1">
        <f t="array" aca="1" ref="P27" ca="1">_xll.BDH(E27&amp;" Corp",$N27,$O$17)</f>
        <v>416.298</v>
      </c>
      <c r="Q27" s="18">
        <f t="shared" ca="1" si="13"/>
        <v>11.156999999999982</v>
      </c>
      <c r="R27" s="18">
        <f t="shared" ca="1" si="14"/>
        <v>9.1284545454545309</v>
      </c>
      <c r="S27" s="18">
        <f t="shared" ca="1" si="15"/>
        <v>-1.7248254351231322</v>
      </c>
      <c r="T27" s="18" cm="1">
        <f t="array" aca="1" ref="T27" ca="1">_xll.BDH(D27&amp;" Corp",$N27,$T$17)</f>
        <v>404.68099999999998</v>
      </c>
      <c r="U27" s="18" cm="1">
        <f t="array" aca="1" ref="U27" ca="1">_xll.BDH(E27&amp;" Corp",$N27,$T$17)</f>
        <v>433.899</v>
      </c>
      <c r="V27" s="18">
        <f t="shared" ca="1" si="16"/>
        <v>29.218000000000018</v>
      </c>
      <c r="W27" s="18">
        <f t="shared" ca="1" si="17"/>
        <v>23.905636363636376</v>
      </c>
      <c r="X27" s="18">
        <f t="shared" ca="1" si="18"/>
        <v>-16.502007253304978</v>
      </c>
      <c r="Y27" s="18" cm="1">
        <f t="array" ref="Y27">_xll.BDP(D27&amp;" Corp","interval_avg","calc_interval=30d","market_data_override=sp210")</f>
        <v>386.96065517241374</v>
      </c>
    </row>
    <row r="28" spans="1:29" x14ac:dyDescent="0.25">
      <c r="A28" s="5" t="s">
        <v>161</v>
      </c>
      <c r="B28" s="11" t="str">
        <f t="shared" si="11"/>
        <v>VW 3 7/8 PERP nc-27</v>
      </c>
      <c r="C28" s="11" t="str">
        <f t="shared" si="12"/>
        <v>VW 4 5/8 PERP nc-28</v>
      </c>
      <c r="D28" s="22" t="str">
        <f>_xlfn.XLOOKUP(B28,bonds[unique lookup],bonds[ID_ISIN])</f>
        <v>XS1629774230</v>
      </c>
      <c r="E28" s="22" t="str">
        <f>_xlfn.XLOOKUP(C28,bonds[unique lookup],bonds[ID_ISIN])</f>
        <v>XS1799939027</v>
      </c>
      <c r="F28" s="8">
        <f>_xlfn.XLOOKUP(B28,bonds[unique lookup],bonds[nxt_call_dt])</f>
        <v>46552</v>
      </c>
      <c r="G28" s="8">
        <f>_xlfn.XLOOKUP(C28,bonds[unique lookup],bonds[nxt_call_dt])</f>
        <v>46931</v>
      </c>
      <c r="H28" s="17">
        <f t="shared" si="19"/>
        <v>1.0361111111111112</v>
      </c>
      <c r="I28" s="12" t="s">
        <v>35</v>
      </c>
      <c r="J28" s="18" cm="1">
        <f t="array" ref="J28">_xll.BDP(D28&amp;" Corp",$I28)</f>
        <v>409.44084722410611</v>
      </c>
      <c r="K28" s="18" cm="1">
        <f t="array" ref="K28">_xll.BDP(E28&amp;" Corp",$I28)</f>
        <v>420.630072284883</v>
      </c>
      <c r="L28" s="18">
        <f t="shared" si="20"/>
        <v>11.189225060776891</v>
      </c>
      <c r="M28" s="18">
        <f t="shared" si="21"/>
        <v>10.799252069382522</v>
      </c>
      <c r="N28" s="12" t="s">
        <v>36</v>
      </c>
      <c r="O28" s="18" cm="1">
        <f t="array" aca="1" ref="O28" ca="1">_xll.BDH(D28&amp;" Corp",$N28,$O$17)</f>
        <v>416.298</v>
      </c>
      <c r="P28" s="18" cm="1">
        <f t="array" aca="1" ref="P28" ca="1">_xll.BDH(E28&amp;" Corp",$N28,$O$17)</f>
        <v>419.65100000000001</v>
      </c>
      <c r="Q28" s="18">
        <f t="shared" ref="Q28:Q30" ca="1" si="22">IFERROR(P28-O28,"-")</f>
        <v>3.3530000000000086</v>
      </c>
      <c r="R28" s="18">
        <f t="shared" ca="1" si="14"/>
        <v>3.2361394101876755</v>
      </c>
      <c r="S28" s="18">
        <f t="shared" ca="1" si="15"/>
        <v>7.5631126591948465</v>
      </c>
      <c r="T28" s="18" cm="1">
        <f t="array" aca="1" ref="T28" ca="1">_xll.BDH(D28&amp;" Corp",$N28,$T$17)</f>
        <v>433.899</v>
      </c>
      <c r="U28" s="18" cm="1">
        <f t="array" aca="1" ref="U28" ca="1">_xll.BDH(E28&amp;" Corp",$N28,$T$17)</f>
        <v>437.42500000000001</v>
      </c>
      <c r="V28" s="18">
        <f t="shared" ca="1" si="16"/>
        <v>3.5260000000000105</v>
      </c>
      <c r="W28" s="18">
        <f t="shared" ca="1" si="17"/>
        <v>3.4031099195710555</v>
      </c>
      <c r="X28" s="18">
        <f t="shared" ca="1" si="18"/>
        <v>7.3961421498114666</v>
      </c>
      <c r="Y28" s="18" cm="1">
        <f t="array" ref="Y28">_xll.BDP(D28&amp;" Corp","interval_avg","calc_interval=30d","market_data_override=sp210")</f>
        <v>406.04348275862071</v>
      </c>
    </row>
    <row r="29" spans="1:29" x14ac:dyDescent="0.25">
      <c r="A29" s="5" t="s">
        <v>161</v>
      </c>
      <c r="B29" s="11" t="str">
        <f t="shared" si="11"/>
        <v>VW 4 5/8 PERP nc-28</v>
      </c>
      <c r="C29" s="11" t="str">
        <f t="shared" si="12"/>
        <v>VW 3 7/8 PERP nc-29</v>
      </c>
      <c r="D29" s="22" t="str">
        <f>_xlfn.XLOOKUP(B29,bonds[unique lookup],bonds[ID_ISIN])</f>
        <v>XS1799939027</v>
      </c>
      <c r="E29" s="22" t="str">
        <f>_xlfn.XLOOKUP(C29,bonds[unique lookup],bonds[ID_ISIN])</f>
        <v>XS2187689380</v>
      </c>
      <c r="F29" s="8">
        <f>_xlfn.XLOOKUP(B29,bonds[unique lookup],bonds[nxt_call_dt])</f>
        <v>46931</v>
      </c>
      <c r="G29" s="8">
        <f>_xlfn.XLOOKUP(C29,bonds[unique lookup],bonds[nxt_call_dt])</f>
        <v>47286</v>
      </c>
      <c r="H29" s="17">
        <f t="shared" si="19"/>
        <v>0.97222222222222221</v>
      </c>
      <c r="I29" s="12" t="s">
        <v>35</v>
      </c>
      <c r="J29" s="18" cm="1">
        <f t="array" ref="J29">_xll.BDP(D29&amp;" Corp",$I29)</f>
        <v>420.630072284883</v>
      </c>
      <c r="K29" s="18" cm="1">
        <f t="array" ref="K29">_xll.BDP(E29&amp;" Corp",$I29)</f>
        <v>425.52170694487688</v>
      </c>
      <c r="L29" s="18">
        <f t="shared" si="20"/>
        <v>4.8916346599938834</v>
      </c>
      <c r="M29" s="18">
        <f t="shared" si="21"/>
        <v>5.031395650279423</v>
      </c>
      <c r="N29" s="12" t="s">
        <v>36</v>
      </c>
      <c r="O29" s="18" cm="1">
        <f t="array" aca="1" ref="O29" ca="1">_xll.BDH(D29&amp;" Corp",$N29,$O$17)</f>
        <v>419.65100000000001</v>
      </c>
      <c r="P29" s="18" cm="1">
        <f t="array" aca="1" ref="P29" ca="1">_xll.BDH(E29&amp;" Corp",$N29,$O$17)</f>
        <v>435.81599999999997</v>
      </c>
      <c r="Q29" s="18">
        <f t="shared" ca="1" si="22"/>
        <v>16.164999999999964</v>
      </c>
      <c r="R29" s="18">
        <f t="shared" ca="1" si="14"/>
        <v>16.626857142857105</v>
      </c>
      <c r="S29" s="18">
        <f t="shared" ca="1" si="15"/>
        <v>-11.595461492577682</v>
      </c>
      <c r="T29" s="18" cm="1">
        <f t="array" aca="1" ref="T29" ca="1">_xll.BDH(D29&amp;" Corp",$N29,$T$17)</f>
        <v>437.42500000000001</v>
      </c>
      <c r="U29" s="18" t="str" cm="1">
        <f t="array" aca="1" ref="U29" ca="1">_xll.BDH(E29&amp;" Corp",$N29,$T$17)</f>
        <v>#N/A N/A</v>
      </c>
      <c r="V29" s="18" t="str">
        <f t="shared" ca="1" si="16"/>
        <v>-</v>
      </c>
      <c r="W29" s="18" t="str">
        <f t="shared" ca="1" si="17"/>
        <v>-</v>
      </c>
      <c r="X29" s="18" t="str">
        <f t="shared" ca="1" si="18"/>
        <v>-</v>
      </c>
      <c r="Y29" s="18" cm="1">
        <f t="array" ref="Y29">_xll.BDP(D29&amp;" Corp","interval_avg","calc_interval=30d","market_data_override=sp210")</f>
        <v>411.21410344827586</v>
      </c>
    </row>
    <row r="30" spans="1:29" x14ac:dyDescent="0.25">
      <c r="A30" s="5" t="s">
        <v>161</v>
      </c>
      <c r="B30" s="11" t="str">
        <f t="shared" si="11"/>
        <v>VW 3 7/8 PERP nc-29</v>
      </c>
      <c r="C30" s="11" t="str">
        <f t="shared" si="12"/>
        <v>VW 3 1/2 PERP nc-30</v>
      </c>
      <c r="D30" s="22" t="str">
        <f>_xlfn.XLOOKUP(B30,bonds[unique lookup],bonds[ID_ISIN])</f>
        <v>XS2187689380</v>
      </c>
      <c r="E30" s="22" t="str">
        <f>_xlfn.XLOOKUP(C30,bonds[unique lookup],bonds[ID_ISIN])</f>
        <v>XS1206541366</v>
      </c>
      <c r="F30" s="8">
        <f>_xlfn.XLOOKUP(B30,bonds[unique lookup],bonds[nxt_call_dt])</f>
        <v>47286</v>
      </c>
      <c r="G30" s="8">
        <f>_xlfn.XLOOKUP(C30,bonds[unique lookup],bonds[nxt_call_dt])</f>
        <v>47562</v>
      </c>
      <c r="H30" s="17">
        <f t="shared" si="19"/>
        <v>0.7583333333333333</v>
      </c>
      <c r="I30" s="12" t="s">
        <v>35</v>
      </c>
      <c r="J30" s="18" cm="1">
        <f t="array" ref="J30">_xll.BDP(D30&amp;" Corp",$I30)</f>
        <v>425.52170694487688</v>
      </c>
      <c r="K30" s="18" cm="1">
        <f t="array" ref="K30">_xll.BDP(E30&amp;" Corp",$I30)</f>
        <v>398.55349865938547</v>
      </c>
      <c r="L30" s="18">
        <f t="shared" si="20"/>
        <v>-26.968208285491414</v>
      </c>
      <c r="M30" s="18">
        <f t="shared" si="21"/>
        <v>-35.562472464384285</v>
      </c>
      <c r="N30" s="12" t="s">
        <v>36</v>
      </c>
      <c r="O30" s="18" cm="1">
        <f t="array" aca="1" ref="O30" ca="1">_xll.BDH(D30&amp;" Corp",$N30,$O$17)</f>
        <v>435.81599999999997</v>
      </c>
      <c r="P30" s="18" cm="1">
        <f t="array" aca="1" ref="P30" ca="1">_xll.BDH(E30&amp;" Corp",$N30,$O$17)</f>
        <v>383.27800000000002</v>
      </c>
      <c r="Q30" s="18">
        <f t="shared" ca="1" si="22"/>
        <v>-52.537999999999954</v>
      </c>
      <c r="R30" s="18">
        <f t="shared" ca="1" si="14"/>
        <v>-69.280879120879064</v>
      </c>
      <c r="S30" s="18">
        <f t="shared" ca="1" si="15"/>
        <v>33.718406656494778</v>
      </c>
      <c r="T30" s="18" t="str" cm="1">
        <f t="array" aca="1" ref="T30" ca="1">_xll.BDH(D30&amp;" Corp",$N30,$T$17)</f>
        <v>#N/A N/A</v>
      </c>
      <c r="U30" s="18" cm="1">
        <f t="array" aca="1" ref="U30" ca="1">_xll.BDH(E30&amp;" Corp",$N30,$T$17)</f>
        <v>393.34500000000003</v>
      </c>
      <c r="V30" s="18" t="str">
        <f t="shared" ca="1" si="16"/>
        <v>-</v>
      </c>
      <c r="W30" s="18" t="str">
        <f t="shared" ca="1" si="17"/>
        <v>-</v>
      </c>
      <c r="X30" s="18" t="str">
        <f t="shared" ca="1" si="18"/>
        <v>-</v>
      </c>
      <c r="Y30" s="18" cm="1">
        <f t="array" ref="Y30">_xll.BDP(D30&amp;" Corp","interval_avg","calc_interval=30d","market_data_override=sp210")</f>
        <v>426.46746666666661</v>
      </c>
    </row>
    <row r="33" spans="1:28" x14ac:dyDescent="0.25">
      <c r="G33" s="5" t="s">
        <v>162</v>
      </c>
      <c r="H33" s="17">
        <f>AVERAGE(H21:H30)</f>
        <v>0.89888888888888885</v>
      </c>
      <c r="L33" s="5" t="s">
        <v>162</v>
      </c>
      <c r="M33" s="18">
        <f>AVERAGE(M21:M30)</f>
        <v>15.522314873512702</v>
      </c>
      <c r="R33" s="18">
        <f ca="1">AVERAGE(R21:R30)</f>
        <v>9.0502607815029048</v>
      </c>
      <c r="S33" s="18">
        <f ca="1">AVERAGE(S21:S30)</f>
        <v>6.4720540920097989</v>
      </c>
      <c r="W33" s="18">
        <f t="shared" ref="W33:X33" ca="1" si="23">AVERAGE(W21:W30)</f>
        <v>-2.94837399727481</v>
      </c>
      <c r="X33" s="18">
        <f t="shared" ca="1" si="23"/>
        <v>32.392348557329349</v>
      </c>
    </row>
    <row r="34" spans="1:28" x14ac:dyDescent="0.25">
      <c r="G34" s="5" t="s">
        <v>163</v>
      </c>
      <c r="H34" s="17">
        <f>_xlfn.STDEV.P(H21:H30)</f>
        <v>0.15639258925955751</v>
      </c>
      <c r="L34" s="5" t="s">
        <v>163</v>
      </c>
      <c r="M34" s="18">
        <f>_xlfn.STDEV.P(M21:M30)</f>
        <v>50.153473322979387</v>
      </c>
      <c r="R34" s="18">
        <f ca="1">_xlfn.STDEV.P(R21:R30)</f>
        <v>46.701377239178669</v>
      </c>
      <c r="S34" s="18">
        <f ca="1">_xlfn.STDEV.P(S21:S30)</f>
        <v>16.834318471029768</v>
      </c>
      <c r="W34" s="18">
        <f t="shared" ref="W34:X34" ca="1" si="24">_xlfn.STDEV.P(W21:W30)</f>
        <v>53.154351625809667</v>
      </c>
      <c r="X34" s="18">
        <f t="shared" ca="1" si="24"/>
        <v>103.20607254321229</v>
      </c>
    </row>
    <row r="39" spans="1:28" ht="33" x14ac:dyDescent="0.3">
      <c r="B39" s="19" t="s">
        <v>11</v>
      </c>
      <c r="C39" s="19" t="s">
        <v>12</v>
      </c>
      <c r="D39" s="19" t="s">
        <v>9</v>
      </c>
      <c r="E39" s="19" t="s">
        <v>10</v>
      </c>
      <c r="F39" s="19" t="s">
        <v>13</v>
      </c>
      <c r="G39" s="19" t="s">
        <v>14</v>
      </c>
      <c r="H39" s="19" t="s">
        <v>15</v>
      </c>
      <c r="I39" s="20" t="s">
        <v>16</v>
      </c>
      <c r="J39" s="19" t="s">
        <v>3</v>
      </c>
      <c r="K39" s="19" t="s">
        <v>4</v>
      </c>
      <c r="L39" s="19" t="s">
        <v>150</v>
      </c>
      <c r="M39" s="19" t="s">
        <v>151</v>
      </c>
      <c r="N39" s="19" t="s">
        <v>152</v>
      </c>
      <c r="O39" s="19" t="s">
        <v>153</v>
      </c>
      <c r="P39" s="19" t="s">
        <v>154</v>
      </c>
      <c r="Q39" s="19" t="s">
        <v>155</v>
      </c>
      <c r="R39" s="19" t="s">
        <v>156</v>
      </c>
      <c r="S39" s="19" t="s">
        <v>157</v>
      </c>
      <c r="T39" s="19" t="s">
        <v>28</v>
      </c>
      <c r="U39" s="19" t="s">
        <v>29</v>
      </c>
      <c r="V39" s="19" t="s">
        <v>158</v>
      </c>
      <c r="W39" s="19" t="s">
        <v>159</v>
      </c>
      <c r="X39" s="19" t="s">
        <v>160</v>
      </c>
      <c r="Y39" s="19" t="s">
        <v>412</v>
      </c>
      <c r="Z39" s="19" t="s">
        <v>414</v>
      </c>
      <c r="AA39" s="19" t="s">
        <v>417</v>
      </c>
      <c r="AB39" s="19" t="s">
        <v>418</v>
      </c>
    </row>
    <row r="40" spans="1:28" x14ac:dyDescent="0.25">
      <c r="A40" s="5" t="s">
        <v>164</v>
      </c>
      <c r="B40" s="11" t="str">
        <f>C5</f>
        <v>VW 2 1/2 PERP nc-22</v>
      </c>
      <c r="C40" s="11" t="str">
        <f>C12</f>
        <v>VW 4 5/8 PERP nc-28</v>
      </c>
      <c r="D40" s="22" t="str">
        <f>_xlfn.XLOOKUP(B40,bonds[unique lookup],bonds[ID_ISIN])</f>
        <v>XS1206540806</v>
      </c>
      <c r="E40" s="22" t="str">
        <f>_xlfn.XLOOKUP(C40,bonds[unique lookup],bonds[ID_ISIN])</f>
        <v>XS1799939027</v>
      </c>
      <c r="F40" s="8">
        <f>_xlfn.XLOOKUP(B40,bonds[unique lookup],bonds[nxt_call_dt])</f>
        <v>44640</v>
      </c>
      <c r="G40" s="8">
        <f>_xlfn.XLOOKUP(C40,bonds[unique lookup],bonds[nxt_call_dt])</f>
        <v>46931</v>
      </c>
      <c r="H40" s="17">
        <f>YEARFRAC(F40,G40)</f>
        <v>6.2694444444444448</v>
      </c>
      <c r="I40" s="12" t="s">
        <v>35</v>
      </c>
      <c r="J40" s="18" cm="1">
        <f t="array" ref="J40">_xll.BDP(D40&amp;" Corp",$I40)</f>
        <v>379.42997942797689</v>
      </c>
      <c r="K40" s="18" cm="1">
        <f t="array" ref="K40">_xll.BDP(E40&amp;" Corp",$I40)</f>
        <v>420.630072284883</v>
      </c>
      <c r="L40" s="18">
        <f>K40-J40</f>
        <v>41.20009285690611</v>
      </c>
      <c r="M40" s="18">
        <f>L40/H40</f>
        <v>6.5715699727453254</v>
      </c>
      <c r="N40" s="12" t="s">
        <v>36</v>
      </c>
      <c r="O40" s="18" cm="1">
        <f t="array" aca="1" ref="O40" ca="1">_xll.BDH(D40&amp;" Corp",$N40,$O$17)</f>
        <v>379.03100000000001</v>
      </c>
      <c r="P40" s="18" cm="1">
        <f t="array" aca="1" ref="P40" ca="1">_xll.BDH(E40&amp;" Corp",$N40,$O$17)</f>
        <v>419.65100000000001</v>
      </c>
      <c r="Q40" s="18">
        <f ca="1">IFERROR(P40-O40,"-")</f>
        <v>40.620000000000005</v>
      </c>
      <c r="R40" s="18">
        <f ca="1">IFERROR(Q40/H40,"-")</f>
        <v>6.4790429774036333</v>
      </c>
      <c r="S40" s="18">
        <f ca="1">IFERROR(M40-R40,"-")</f>
        <v>9.2526995341692064E-2</v>
      </c>
      <c r="T40" s="18" cm="1">
        <f t="array" aca="1" ref="T40" ca="1">_xll.BDH(D40&amp;" Corp",$N40,$T$17)</f>
        <v>353.47800000000001</v>
      </c>
      <c r="U40" s="18" cm="1">
        <f t="array" aca="1" ref="U40" ca="1">_xll.BDH(E40&amp;" Corp",$N40,$T$17)</f>
        <v>437.42500000000001</v>
      </c>
      <c r="V40" s="18">
        <f ca="1">IFERROR(U40-T40,"-")</f>
        <v>83.947000000000003</v>
      </c>
      <c r="W40" s="18">
        <f ca="1">IFERROR(V40/H40,"-")</f>
        <v>13.389862649534781</v>
      </c>
      <c r="X40" s="18">
        <f ca="1">IFERROR(M40-W40,"-")</f>
        <v>-6.8182926767894552</v>
      </c>
    </row>
    <row r="41" spans="1:28" x14ac:dyDescent="0.25">
      <c r="A41" s="5" t="s">
        <v>164</v>
      </c>
      <c r="B41" s="11" t="str">
        <f>C6</f>
        <v>VW 2.7 PERP nc-22</v>
      </c>
      <c r="C41" s="11" t="str">
        <f>C13</f>
        <v>VW 3 7/8 PERP nc-29</v>
      </c>
      <c r="D41" s="22" t="str">
        <f>_xlfn.XLOOKUP(B41,bonds[unique lookup],bonds[ID_ISIN])</f>
        <v>XS1629658755</v>
      </c>
      <c r="E41" s="22" t="str">
        <f>_xlfn.XLOOKUP(C41,bonds[unique lookup],bonds[ID_ISIN])</f>
        <v>XS2187689380</v>
      </c>
      <c r="F41" s="8">
        <f>_xlfn.XLOOKUP(B41,bonds[unique lookup],bonds[nxt_call_dt])</f>
        <v>44909</v>
      </c>
      <c r="G41" s="8">
        <f>_xlfn.XLOOKUP(C41,bonds[unique lookup],bonds[nxt_call_dt])</f>
        <v>47286</v>
      </c>
      <c r="H41" s="17">
        <f>YEARFRAC(F41,G41)</f>
        <v>6.5083333333333337</v>
      </c>
      <c r="I41" s="12" t="s">
        <v>35</v>
      </c>
      <c r="J41" s="18" cm="1">
        <f t="array" ref="J41">_xll.BDP(D41&amp;" Corp",$I41)</f>
        <v>381.39226707444124</v>
      </c>
      <c r="K41" s="18" cm="1">
        <f t="array" ref="K41">_xll.BDP(E41&amp;" Corp",$I41)</f>
        <v>425.52170694487688</v>
      </c>
      <c r="L41" s="18">
        <f>K41-J41</f>
        <v>44.129439870435647</v>
      </c>
      <c r="M41" s="18">
        <f>L41/H41</f>
        <v>6.7804517086456819</v>
      </c>
      <c r="N41" s="12" t="s">
        <v>36</v>
      </c>
      <c r="O41" s="18" cm="1">
        <f t="array" aca="1" ref="O41" ca="1">_xll.BDH(D41&amp;" Corp",$N41,$O$17)</f>
        <v>384.67200000000003</v>
      </c>
      <c r="P41" s="18" cm="1">
        <f t="array" aca="1" ref="P41" ca="1">_xll.BDH(E41&amp;" Corp",$N41,$O$17)</f>
        <v>435.81599999999997</v>
      </c>
      <c r="Q41" s="18">
        <f ca="1">IFERROR(P41-O41,"-")</f>
        <v>51.143999999999949</v>
      </c>
      <c r="R41" s="18">
        <f ca="1">IFERROR(Q41/H41,"-")</f>
        <v>7.8582330345710547</v>
      </c>
      <c r="S41" s="18">
        <f ca="1">IFERROR(M41-R41,"-")</f>
        <v>-1.0777813259253728</v>
      </c>
      <c r="T41" s="18" cm="1">
        <f t="array" aca="1" ref="T41" ca="1">_xll.BDH(D41&amp;" Corp",$N41,$T$17)</f>
        <v>365.14400000000001</v>
      </c>
      <c r="U41" s="18" t="str" cm="1">
        <f t="array" aca="1" ref="U41" ca="1">_xll.BDH(E41&amp;" Corp",$N41,$T$17)</f>
        <v>#N/A N/A</v>
      </c>
      <c r="V41" s="18" t="str">
        <f ca="1">IFERROR(U41-T41,"-")</f>
        <v>-</v>
      </c>
      <c r="W41" s="18" t="str">
        <f ca="1">IFERROR(V41/H41,"-")</f>
        <v>-</v>
      </c>
      <c r="X41" s="18" t="str">
        <f ca="1">IFERROR(M41-W41,"-")</f>
        <v>-</v>
      </c>
    </row>
    <row r="43" spans="1:28" x14ac:dyDescent="0.25">
      <c r="A43" s="5" t="s">
        <v>165</v>
      </c>
      <c r="B43" s="11" t="str">
        <f>C10</f>
        <v>VW 4 5/8 PERP nc-26</v>
      </c>
      <c r="C43" s="11" t="str">
        <f>C14</f>
        <v>VW 3 1/2 PERP nc-30</v>
      </c>
      <c r="D43" s="22" t="str">
        <f>_xlfn.XLOOKUP(B43,bonds[unique lookup],bonds[ID_ISIN])</f>
        <v>XS1048428442</v>
      </c>
      <c r="E43" s="22" t="str">
        <f>_xlfn.XLOOKUP(C43,bonds[unique lookup],bonds[ID_ISIN])</f>
        <v>XS1206541366</v>
      </c>
      <c r="F43" s="8">
        <f>_xlfn.XLOOKUP(B43,bonds[unique lookup],bonds[nxt_call_dt])</f>
        <v>46105</v>
      </c>
      <c r="G43" s="8">
        <f>_xlfn.XLOOKUP(C43,bonds[unique lookup],bonds[nxt_call_dt])</f>
        <v>47562</v>
      </c>
      <c r="H43" s="17">
        <f>YEARFRAC(F43,G43)</f>
        <v>3.9888888888888889</v>
      </c>
      <c r="I43" s="12" t="s">
        <v>35</v>
      </c>
      <c r="J43" s="18" cm="1">
        <f t="array" ref="J43">_xll.BDP(D43&amp;" Corp",$I43)</f>
        <v>400.39196720036773</v>
      </c>
      <c r="K43" s="18" cm="1">
        <f t="array" ref="K43">_xll.BDP(E43&amp;" Corp",$I43)</f>
        <v>398.55349865938547</v>
      </c>
      <c r="L43" s="18">
        <f>K43-J43</f>
        <v>-1.8384685409822623</v>
      </c>
      <c r="M43" s="18">
        <f>L43/H43</f>
        <v>-0.46089740581728023</v>
      </c>
      <c r="N43" s="12" t="s">
        <v>36</v>
      </c>
      <c r="O43" s="18" cm="1">
        <f t="array" aca="1" ref="O43" ca="1">_xll.BDH(D43&amp;" Corp",$N43,$O$17)</f>
        <v>405.14100000000002</v>
      </c>
      <c r="P43" s="18" cm="1">
        <f t="array" aca="1" ref="P43" ca="1">_xll.BDH(E43&amp;" Corp",$N43,$O$17)</f>
        <v>383.27800000000002</v>
      </c>
      <c r="Q43" s="18">
        <f ca="1">IFERROR(P43-O43,"-")</f>
        <v>-21.863</v>
      </c>
      <c r="R43" s="18">
        <f ca="1">IFERROR(Q43/H43,"-")</f>
        <v>-5.4809749303621169</v>
      </c>
      <c r="S43" s="18">
        <f ca="1">IFERROR(M43-R43,"-")</f>
        <v>5.0200775245448366</v>
      </c>
      <c r="T43" s="18" cm="1">
        <f t="array" aca="1" ref="T43" ca="1">_xll.BDH(D43&amp;" Corp",$N43,$T$17)</f>
        <v>404.68099999999998</v>
      </c>
      <c r="U43" s="18" cm="1">
        <f t="array" aca="1" ref="U43" ca="1">_xll.BDH(E43&amp;" Corp",$N43,$T$17)</f>
        <v>393.34500000000003</v>
      </c>
      <c r="V43" s="18">
        <f ca="1">IFERROR(U43-T43,"-")</f>
        <v>-11.335999999999956</v>
      </c>
      <c r="W43" s="18">
        <f ca="1">IFERROR(V43/H43,"-")</f>
        <v>-2.8418941504178163</v>
      </c>
      <c r="X43" s="18">
        <f ca="1">IFERROR(M43-W43,"-")</f>
        <v>2.380996744600536</v>
      </c>
    </row>
    <row r="50" spans="1:28" x14ac:dyDescent="0.25">
      <c r="B50" s="5" t="s">
        <v>2</v>
      </c>
      <c r="C50" s="11" t="s">
        <v>166</v>
      </c>
    </row>
    <row r="51" spans="1:28" ht="11" x14ac:dyDescent="0.3">
      <c r="C51" s="4" t="s">
        <v>146</v>
      </c>
      <c r="D51" s="4" t="s">
        <v>147</v>
      </c>
      <c r="G51" s="5">
        <f>COUNTA(_xlfn.ANCHORARRAY(C52))</f>
        <v>8</v>
      </c>
    </row>
    <row r="52" spans="1:28" x14ac:dyDescent="0.25">
      <c r="C52" s="5" t="str" cm="1">
        <f t="array" ref="C52:C59">_xlfn._xlws.FILTER(bonds[unique lookup],(bonds[ticker]=C50)*(bonds[crncy]="eur"))</f>
        <v>TELEFO 3 3/4 PERP nc-22</v>
      </c>
      <c r="D52" s="22" t="str" cm="1">
        <f t="array" ref="D52:D59">_xlfn.XLOOKUP(_xlfn.ANCHORARRAY(C52),bonds[unique lookup],bonds[ID_ISIN])</f>
        <v>XS1490960942</v>
      </c>
      <c r="E52" s="5" t="str" cm="1">
        <f t="array" ref="E52">_xll.BDP(D52&amp;" Corp","crncy")</f>
        <v>EUR</v>
      </c>
    </row>
    <row r="53" spans="1:28" x14ac:dyDescent="0.25">
      <c r="C53" s="5" t="str">
        <v>TELEFO 2 5/8 PERP nc-23</v>
      </c>
      <c r="D53" s="22" t="str">
        <v>XS1731823255</v>
      </c>
      <c r="E53" s="5" t="str" cm="1">
        <f t="array" ref="E53">_xll.BDP(D53&amp;" Corp","crncy")</f>
        <v>EUR</v>
      </c>
    </row>
    <row r="54" spans="1:28" x14ac:dyDescent="0.25">
      <c r="C54" s="5" t="str">
        <v>TELEFO 3 PERP nc-23</v>
      </c>
      <c r="D54" s="22" t="str">
        <v>XS1795406575</v>
      </c>
      <c r="E54" s="5" t="str" cm="1">
        <f t="array" ref="E54">_xll.BDP(D54&amp;" Corp","crncy")</f>
        <v>EUR</v>
      </c>
    </row>
    <row r="55" spans="1:28" x14ac:dyDescent="0.25">
      <c r="C55" s="5" t="str">
        <v>TELEFO 5 7/8 PERP nc-24</v>
      </c>
      <c r="D55" s="22" t="str">
        <v>XS1050461034</v>
      </c>
      <c r="E55" s="5" t="str" cm="1">
        <f t="array" ref="E55">_xll.BDP(D55&amp;" Corp","crncy")</f>
        <v>EUR</v>
      </c>
    </row>
    <row r="56" spans="1:28" x14ac:dyDescent="0.25">
      <c r="C56" s="5" t="str">
        <v>TELEFO 4 3/8 PERP nc-24</v>
      </c>
      <c r="D56" s="22" t="str">
        <v>XS1933828433</v>
      </c>
      <c r="E56" s="5" t="str" cm="1">
        <f t="array" ref="E56">_xll.BDP(D56&amp;" Corp","crncy")</f>
        <v>EUR</v>
      </c>
    </row>
    <row r="57" spans="1:28" x14ac:dyDescent="0.25">
      <c r="C57" s="5" t="str">
        <v>TELEFO 3 7/8 PERP nc-26</v>
      </c>
      <c r="D57" s="22" t="str">
        <v>XS1795406658</v>
      </c>
      <c r="E57" s="5" t="str" cm="1">
        <f t="array" ref="E57">_xll.BDP(D57&amp;" Corp","crncy")</f>
        <v>EUR</v>
      </c>
    </row>
    <row r="58" spans="1:28" x14ac:dyDescent="0.25">
      <c r="C58" s="5" t="str">
        <v>TELEFO 2.502 PERP nc-27</v>
      </c>
      <c r="D58" s="22" t="str">
        <v>XS2109819859</v>
      </c>
      <c r="E58" s="5" t="str" cm="1">
        <f t="array" ref="E58">_xll.BDP(D58&amp;" Corp","crncy")</f>
        <v>EUR</v>
      </c>
    </row>
    <row r="59" spans="1:28" x14ac:dyDescent="0.25">
      <c r="C59" s="5" t="str">
        <v>TELEFO 2 7/8 PERP nc-27</v>
      </c>
      <c r="D59" s="22" t="str">
        <v>XS2056371334</v>
      </c>
      <c r="E59" s="5" t="str" cm="1">
        <f t="array" ref="E59">_xll.BDP(D59&amp;" Corp","crncy")</f>
        <v>EUR</v>
      </c>
    </row>
    <row r="60" spans="1:28" x14ac:dyDescent="0.25">
      <c r="O60" s="23">
        <v>7</v>
      </c>
      <c r="T60" s="23">
        <v>25</v>
      </c>
    </row>
    <row r="61" spans="1:28" x14ac:dyDescent="0.25">
      <c r="O61" s="8">
        <f ca="1">WORKDAY(TODAY(),-O60)</f>
        <v>44006</v>
      </c>
      <c r="T61" s="8">
        <f ca="1">WORKDAY(TODAY(),-T60)</f>
        <v>43980</v>
      </c>
    </row>
    <row r="63" spans="1:28" ht="33" x14ac:dyDescent="0.3">
      <c r="B63" s="19" t="s">
        <v>11</v>
      </c>
      <c r="C63" s="19" t="s">
        <v>12</v>
      </c>
      <c r="D63" s="19" t="s">
        <v>9</v>
      </c>
      <c r="E63" s="19" t="s">
        <v>10</v>
      </c>
      <c r="F63" s="19" t="s">
        <v>13</v>
      </c>
      <c r="G63" s="19" t="s">
        <v>14</v>
      </c>
      <c r="H63" s="19" t="s">
        <v>15</v>
      </c>
      <c r="I63" s="20" t="s">
        <v>16</v>
      </c>
      <c r="J63" s="19" t="s">
        <v>3</v>
      </c>
      <c r="K63" s="19" t="s">
        <v>4</v>
      </c>
      <c r="L63" s="19" t="s">
        <v>150</v>
      </c>
      <c r="M63" s="19" t="s">
        <v>151</v>
      </c>
      <c r="N63" s="19" t="s">
        <v>152</v>
      </c>
      <c r="O63" s="19" t="s">
        <v>153</v>
      </c>
      <c r="P63" s="19" t="s">
        <v>154</v>
      </c>
      <c r="Q63" s="19" t="s">
        <v>155</v>
      </c>
      <c r="R63" s="19" t="s">
        <v>156</v>
      </c>
      <c r="S63" s="19" t="s">
        <v>157</v>
      </c>
      <c r="T63" s="19" t="s">
        <v>28</v>
      </c>
      <c r="U63" s="19" t="s">
        <v>29</v>
      </c>
      <c r="V63" s="19" t="s">
        <v>158</v>
      </c>
      <c r="W63" s="19" t="s">
        <v>159</v>
      </c>
      <c r="X63" s="19" t="s">
        <v>160</v>
      </c>
      <c r="Y63" s="19" t="s">
        <v>412</v>
      </c>
      <c r="Z63" s="19" t="s">
        <v>414</v>
      </c>
      <c r="AA63" s="19" t="s">
        <v>417</v>
      </c>
      <c r="AB63" s="19" t="s">
        <v>418</v>
      </c>
    </row>
    <row r="64" spans="1:28" x14ac:dyDescent="0.25">
      <c r="A64" s="5" t="s">
        <v>161</v>
      </c>
      <c r="B64" s="11" t="str">
        <f>C52</f>
        <v>TELEFO 3 3/4 PERP nc-22</v>
      </c>
      <c r="C64" s="11" t="str">
        <f>C53</f>
        <v>TELEFO 2 5/8 PERP nc-23</v>
      </c>
      <c r="D64" s="22" t="str">
        <f>_xlfn.XLOOKUP(B64,bonds[unique lookup],bonds[ID_ISIN])</f>
        <v>XS1490960942</v>
      </c>
      <c r="E64" s="22" t="str">
        <f>_xlfn.XLOOKUP(C64,bonds[unique lookup],bonds[ID_ISIN])</f>
        <v>XS1731823255</v>
      </c>
      <c r="F64" s="8">
        <f>_xlfn.XLOOKUP(B64,bonds[unique lookup],bonds[nxt_call_dt])</f>
        <v>44635</v>
      </c>
      <c r="G64" s="8">
        <f>_xlfn.XLOOKUP(C64,bonds[unique lookup],bonds[nxt_call_dt])</f>
        <v>44992</v>
      </c>
      <c r="H64" s="17">
        <f>YEARFRAC(F64,G64)</f>
        <v>0.97777777777777775</v>
      </c>
      <c r="I64" s="12" t="s">
        <v>35</v>
      </c>
      <c r="J64" s="18" cm="1">
        <f t="array" ref="J64">_xll.BDP(D64&amp;" Corp",$I64)</f>
        <v>347.97327604278416</v>
      </c>
      <c r="K64" s="18" cm="1">
        <f t="array" ref="K64">_xll.BDP(E64&amp;" Corp",$I64)</f>
        <v>367.79825768995835</v>
      </c>
      <c r="L64" s="18">
        <f>K64-J64</f>
        <v>19.824981647174184</v>
      </c>
      <c r="M64" s="18">
        <f>L64/H64</f>
        <v>20.27554941188269</v>
      </c>
      <c r="N64" s="12" t="s">
        <v>36</v>
      </c>
      <c r="O64" s="18" cm="1">
        <f t="array" aca="1" ref="O64" ca="1">_xll.BDH(D64&amp;" Corp",$N64,$O$61)</f>
        <v>380.81299999999999</v>
      </c>
      <c r="P64" s="18" cm="1">
        <f t="array" aca="1" ref="P64" ca="1">_xll.BDH(E64&amp;" Corp",$N64,$O$61)</f>
        <v>246.01300000000001</v>
      </c>
      <c r="Q64" s="18">
        <f ca="1">IFERROR(P64-O64,"-")</f>
        <v>-134.79999999999998</v>
      </c>
      <c r="R64" s="18">
        <f ca="1">IFERROR(Q64/H64,"-")</f>
        <v>-137.86363636363635</v>
      </c>
      <c r="S64" s="18">
        <f ca="1">IFERROR(M64-R64,"-")</f>
        <v>158.13918577551902</v>
      </c>
      <c r="T64" s="18" cm="1">
        <f t="array" aca="1" ref="T64" ca="1">_xll.BDH(D64&amp;" Corp",$N64,$T$61)</f>
        <v>365.81299999999999</v>
      </c>
      <c r="U64" s="18" cm="1">
        <f t="array" aca="1" ref="U64" ca="1">_xll.BDH(E64&amp;" Corp",$N64,$T$61)</f>
        <v>244.96700000000001</v>
      </c>
      <c r="V64" s="18">
        <f ca="1">IFERROR(U64-T64,"-")</f>
        <v>-120.84599999999998</v>
      </c>
      <c r="W64" s="18">
        <f ca="1">IFERROR(V64/H64,"-")</f>
        <v>-123.59249999999997</v>
      </c>
      <c r="X64" s="18">
        <f ca="1">IFERROR(M64-W64,"-")</f>
        <v>143.86804941188265</v>
      </c>
      <c r="Y64" s="18" cm="1">
        <f t="array" ref="Y64">_xll.BDP(D64&amp;" Corp","interval_avg","calc_interval=30d","market_data_override=sp210")</f>
        <v>360.25931034482761</v>
      </c>
    </row>
    <row r="65" spans="1:25" x14ac:dyDescent="0.25">
      <c r="A65" s="5" t="s">
        <v>161</v>
      </c>
      <c r="B65" s="11" t="str">
        <f t="shared" ref="B65:B70" si="25">C53</f>
        <v>TELEFO 2 5/8 PERP nc-23</v>
      </c>
      <c r="C65" s="11" t="str">
        <f t="shared" ref="C65:C70" si="26">C54</f>
        <v>TELEFO 3 PERP nc-23</v>
      </c>
      <c r="D65" s="22" t="str">
        <f>_xlfn.XLOOKUP(B65,bonds[unique lookup],bonds[ID_ISIN])</f>
        <v>XS1731823255</v>
      </c>
      <c r="E65" s="22" t="str">
        <f>_xlfn.XLOOKUP(C65,bonds[unique lookup],bonds[ID_ISIN])</f>
        <v>XS1795406575</v>
      </c>
      <c r="F65" s="8">
        <f>_xlfn.XLOOKUP(B65,bonds[unique lookup],bonds[nxt_call_dt])</f>
        <v>44992</v>
      </c>
      <c r="G65" s="8">
        <f>_xlfn.XLOOKUP(C65,bonds[unique lookup],bonds[nxt_call_dt])</f>
        <v>45173</v>
      </c>
      <c r="H65" s="17">
        <f t="shared" ref="H65:H70" si="27">YEARFRAC(F65,G65)</f>
        <v>0.49166666666666664</v>
      </c>
      <c r="I65" s="12" t="s">
        <v>35</v>
      </c>
      <c r="J65" s="18" cm="1">
        <f t="array" ref="J65">_xll.BDP(D65&amp;" Corp",$I65)</f>
        <v>367.79825768995835</v>
      </c>
      <c r="K65" s="18" cm="1">
        <f t="array" ref="K65">_xll.BDP(E65&amp;" Corp",$I65)</f>
        <v>376.27144556373077</v>
      </c>
      <c r="L65" s="18">
        <f t="shared" ref="L65:L70" si="28">K65-J65</f>
        <v>8.4731878737724173</v>
      </c>
      <c r="M65" s="18">
        <f t="shared" ref="M65:M70" si="29">L65/H65</f>
        <v>17.233602455130342</v>
      </c>
      <c r="N65" s="12" t="s">
        <v>36</v>
      </c>
      <c r="O65" s="18" cm="1">
        <f t="array" aca="1" ref="O65" ca="1">_xll.BDH(D65&amp;" Corp",$N65,$O$61)</f>
        <v>246.01300000000001</v>
      </c>
      <c r="P65" s="18" cm="1">
        <f t="array" aca="1" ref="P65" ca="1">_xll.BDH(E65&amp;" Corp",$N65,$O$61)</f>
        <v>408.23599999999999</v>
      </c>
      <c r="Q65" s="18">
        <f t="shared" ref="Q65:Q70" ca="1" si="30">IFERROR(P65-O65,"-")</f>
        <v>162.22299999999998</v>
      </c>
      <c r="R65" s="18">
        <f t="shared" ref="R65:R70" ca="1" si="31">IFERROR(Q65/H65,"-")</f>
        <v>329.9450847457627</v>
      </c>
      <c r="S65" s="18">
        <f t="shared" ref="S65:S70" ca="1" si="32">IFERROR(M65-R65,"-")</f>
        <v>-312.71148229063238</v>
      </c>
      <c r="T65" s="18" cm="1">
        <f t="array" aca="1" ref="T65" ca="1">_xll.BDH(D65&amp;" Corp",$N65,$T$61)</f>
        <v>244.96700000000001</v>
      </c>
      <c r="U65" s="18" cm="1">
        <f t="array" aca="1" ref="U65" ca="1">_xll.BDH(E65&amp;" Corp",$N65,$T$61)</f>
        <v>389.084</v>
      </c>
      <c r="V65" s="18">
        <f t="shared" ref="V65:V70" ca="1" si="33">IFERROR(U65-T65,"-")</f>
        <v>144.11699999999999</v>
      </c>
      <c r="W65" s="18">
        <f t="shared" ref="W65:W70" ca="1" si="34">IFERROR(V65/H65,"-")</f>
        <v>293.1193220338983</v>
      </c>
      <c r="X65" s="18">
        <f t="shared" ref="X65:X70" ca="1" si="35">IFERROR(M65-W65,"-")</f>
        <v>-275.88571957876798</v>
      </c>
      <c r="Y65" s="18" cm="1">
        <f t="array" ref="Y65">_xll.BDP(D65&amp;" Corp","interval_avg","calc_interval=30d","market_data_override=sp210")</f>
        <v>245.33724137931037</v>
      </c>
    </row>
    <row r="66" spans="1:25" x14ac:dyDescent="0.25">
      <c r="A66" s="5" t="s">
        <v>161</v>
      </c>
      <c r="B66" s="11" t="str">
        <f t="shared" si="25"/>
        <v>TELEFO 3 PERP nc-23</v>
      </c>
      <c r="C66" s="11" t="str">
        <f t="shared" si="26"/>
        <v>TELEFO 5 7/8 PERP nc-24</v>
      </c>
      <c r="D66" s="22" t="str">
        <f>_xlfn.XLOOKUP(B66,bonds[unique lookup],bonds[ID_ISIN])</f>
        <v>XS1795406575</v>
      </c>
      <c r="E66" s="22" t="str">
        <f>_xlfn.XLOOKUP(C66,bonds[unique lookup],bonds[ID_ISIN])</f>
        <v>XS1050461034</v>
      </c>
      <c r="F66" s="8">
        <f>_xlfn.XLOOKUP(B66,bonds[unique lookup],bonds[nxt_call_dt])</f>
        <v>45173</v>
      </c>
      <c r="G66" s="8">
        <f>_xlfn.XLOOKUP(C66,bonds[unique lookup],bonds[nxt_call_dt])</f>
        <v>45382</v>
      </c>
      <c r="H66" s="17">
        <f t="shared" si="27"/>
        <v>0.57499999999999996</v>
      </c>
      <c r="I66" s="12" t="s">
        <v>35</v>
      </c>
      <c r="J66" s="18" cm="1">
        <f t="array" ref="J66">_xll.BDP(D66&amp;" Corp",$I66)</f>
        <v>376.27144556373077</v>
      </c>
      <c r="K66" s="18" cm="1">
        <f t="array" ref="K66">_xll.BDP(E66&amp;" Corp",$I66)</f>
        <v>361.1019011585168</v>
      </c>
      <c r="L66" s="18">
        <f t="shared" si="28"/>
        <v>-15.169544405213969</v>
      </c>
      <c r="M66" s="18">
        <f t="shared" si="29"/>
        <v>-26.381816356893861</v>
      </c>
      <c r="N66" s="12" t="s">
        <v>36</v>
      </c>
      <c r="O66" s="18" cm="1">
        <f t="array" aca="1" ref="O66" ca="1">_xll.BDH(D66&amp;" Corp",$N66,$O$61)</f>
        <v>408.23599999999999</v>
      </c>
      <c r="P66" s="18" cm="1">
        <f t="array" aca="1" ref="P66" ca="1">_xll.BDH(E66&amp;" Corp",$N66,$O$61)</f>
        <v>390.27300000000002</v>
      </c>
      <c r="Q66" s="18">
        <f t="shared" ca="1" si="30"/>
        <v>-17.962999999999965</v>
      </c>
      <c r="R66" s="18">
        <f t="shared" ca="1" si="31"/>
        <v>-31.239999999999942</v>
      </c>
      <c r="S66" s="18">
        <f t="shared" ca="1" si="32"/>
        <v>4.8581836431060808</v>
      </c>
      <c r="T66" s="18" cm="1">
        <f t="array" aca="1" ref="T66" ca="1">_xll.BDH(D66&amp;" Corp",$N66,$T$61)</f>
        <v>389.084</v>
      </c>
      <c r="U66" s="18" cm="1">
        <f t="array" aca="1" ref="U66" ca="1">_xll.BDH(E66&amp;" Corp",$N66,$T$61)</f>
        <v>369.44099999999997</v>
      </c>
      <c r="V66" s="18">
        <f t="shared" ca="1" si="33"/>
        <v>-19.643000000000029</v>
      </c>
      <c r="W66" s="18">
        <f t="shared" ca="1" si="34"/>
        <v>-34.161739130434839</v>
      </c>
      <c r="X66" s="18">
        <f t="shared" ca="1" si="35"/>
        <v>7.7799227735409779</v>
      </c>
      <c r="Y66" s="18" cm="1">
        <f t="array" ref="Y66">_xll.BDP(D66&amp;" Corp","interval_avg","calc_interval=30d","market_data_override=sp210")</f>
        <v>383.4954827586206</v>
      </c>
    </row>
    <row r="67" spans="1:25" x14ac:dyDescent="0.25">
      <c r="A67" s="5" t="s">
        <v>161</v>
      </c>
      <c r="B67" s="11" t="str">
        <f t="shared" si="25"/>
        <v>TELEFO 5 7/8 PERP nc-24</v>
      </c>
      <c r="C67" s="11" t="str">
        <f t="shared" si="26"/>
        <v>TELEFO 4 3/8 PERP nc-24</v>
      </c>
      <c r="D67" s="22" t="str">
        <f>_xlfn.XLOOKUP(B67,bonds[unique lookup],bonds[ID_ISIN])</f>
        <v>XS1050461034</v>
      </c>
      <c r="E67" s="22" t="str">
        <f>_xlfn.XLOOKUP(C67,bonds[unique lookup],bonds[ID_ISIN])</f>
        <v>XS1933828433</v>
      </c>
      <c r="F67" s="8">
        <f>_xlfn.XLOOKUP(B67,bonds[unique lookup],bonds[nxt_call_dt])</f>
        <v>45382</v>
      </c>
      <c r="G67" s="8">
        <f>_xlfn.XLOOKUP(C67,bonds[unique lookup],bonds[nxt_call_dt])</f>
        <v>45640</v>
      </c>
      <c r="H67" s="17">
        <f t="shared" si="27"/>
        <v>0.7055555555555556</v>
      </c>
      <c r="I67" s="12" t="s">
        <v>35</v>
      </c>
      <c r="J67" s="18" cm="1">
        <f t="array" ref="J67">_xll.BDP(D67&amp;" Corp",$I67)</f>
        <v>361.1019011585168</v>
      </c>
      <c r="K67" s="18" cm="1">
        <f t="array" ref="K67">_xll.BDP(E67&amp;" Corp",$I67)</f>
        <v>373.18025942207112</v>
      </c>
      <c r="L67" s="18">
        <f t="shared" si="28"/>
        <v>12.078358263554321</v>
      </c>
      <c r="M67" s="18">
        <f t="shared" si="29"/>
        <v>17.118932971966753</v>
      </c>
      <c r="N67" s="12" t="s">
        <v>36</v>
      </c>
      <c r="O67" s="18" cm="1">
        <f t="array" aca="1" ref="O67" ca="1">_xll.BDH(D67&amp;" Corp",$N67,$O$61)</f>
        <v>390.27300000000002</v>
      </c>
      <c r="P67" s="18" cm="1">
        <f t="array" aca="1" ref="P67" ca="1">_xll.BDH(E67&amp;" Corp",$N67,$O$61)</f>
        <v>386.52800000000002</v>
      </c>
      <c r="Q67" s="18">
        <f t="shared" ca="1" si="30"/>
        <v>-3.7450000000000045</v>
      </c>
      <c r="R67" s="18">
        <f t="shared" ca="1" si="31"/>
        <v>-5.3078740157480375</v>
      </c>
      <c r="S67" s="18">
        <f t="shared" ca="1" si="32"/>
        <v>22.426806987714791</v>
      </c>
      <c r="T67" s="18" cm="1">
        <f t="array" aca="1" ref="T67" ca="1">_xll.BDH(D67&amp;" Corp",$N67,$T$61)</f>
        <v>369.44099999999997</v>
      </c>
      <c r="U67" s="18" cm="1">
        <f t="array" aca="1" ref="U67" ca="1">_xll.BDH(E67&amp;" Corp",$N67,$T$61)</f>
        <v>375.505</v>
      </c>
      <c r="V67" s="18">
        <f t="shared" ca="1" si="33"/>
        <v>6.0640000000000214</v>
      </c>
      <c r="W67" s="18">
        <f t="shared" ca="1" si="34"/>
        <v>8.5946456692913689</v>
      </c>
      <c r="X67" s="18">
        <f t="shared" ca="1" si="35"/>
        <v>8.5242873026753845</v>
      </c>
      <c r="Y67" s="18" cm="1">
        <f t="array" ref="Y67">_xll.BDP(D67&amp;" Corp","interval_avg","calc_interval=30d","market_data_override=sp210")</f>
        <v>365.27851724137923</v>
      </c>
    </row>
    <row r="68" spans="1:25" x14ac:dyDescent="0.25">
      <c r="A68" s="5" t="s">
        <v>161</v>
      </c>
      <c r="B68" s="11" t="str">
        <f t="shared" si="25"/>
        <v>TELEFO 4 3/8 PERP nc-24</v>
      </c>
      <c r="C68" s="11" t="str">
        <f t="shared" si="26"/>
        <v>TELEFO 3 7/8 PERP nc-26</v>
      </c>
      <c r="D68" s="22" t="str">
        <f>_xlfn.XLOOKUP(B68,bonds[unique lookup],bonds[ID_ISIN])</f>
        <v>XS1933828433</v>
      </c>
      <c r="E68" s="22" t="str">
        <f>_xlfn.XLOOKUP(C68,bonds[unique lookup],bonds[ID_ISIN])</f>
        <v>XS1795406658</v>
      </c>
      <c r="F68" s="8">
        <f>_xlfn.XLOOKUP(B68,bonds[unique lookup],bonds[nxt_call_dt])</f>
        <v>45640</v>
      </c>
      <c r="G68" s="8">
        <f>_xlfn.XLOOKUP(C68,bonds[unique lookup],bonds[nxt_call_dt])</f>
        <v>46195</v>
      </c>
      <c r="H68" s="17">
        <f t="shared" si="27"/>
        <v>1.5222222222222221</v>
      </c>
      <c r="I68" s="12" t="s">
        <v>35</v>
      </c>
      <c r="J68" s="18" cm="1">
        <f t="array" ref="J68">_xll.BDP(D68&amp;" Corp",$I68)</f>
        <v>373.18025942207112</v>
      </c>
      <c r="K68" s="18" cm="1">
        <f t="array" ref="K68">_xll.BDP(E68&amp;" Corp",$I68)</f>
        <v>400.06434054653812</v>
      </c>
      <c r="L68" s="18">
        <f t="shared" si="28"/>
        <v>26.884081124467002</v>
      </c>
      <c r="M68" s="18">
        <f t="shared" si="29"/>
        <v>17.661075191255694</v>
      </c>
      <c r="N68" s="12" t="s">
        <v>36</v>
      </c>
      <c r="O68" s="18" cm="1">
        <f t="array" aca="1" ref="O68" ca="1">_xll.BDH(D68&amp;" Corp",$N68,$O$61)</f>
        <v>386.52800000000002</v>
      </c>
      <c r="P68" s="18" cm="1">
        <f t="array" aca="1" ref="P68" ca="1">_xll.BDH(E68&amp;" Corp",$N68,$O$61)</f>
        <v>322.26799999999997</v>
      </c>
      <c r="Q68" s="18">
        <f t="shared" ca="1" si="30"/>
        <v>-64.260000000000048</v>
      </c>
      <c r="R68" s="18">
        <f t="shared" ca="1" si="31"/>
        <v>-42.214598540146021</v>
      </c>
      <c r="S68" s="18">
        <f t="shared" ca="1" si="32"/>
        <v>59.875673731401719</v>
      </c>
      <c r="T68" s="18" cm="1">
        <f t="array" aca="1" ref="T68" ca="1">_xll.BDH(D68&amp;" Corp",$N68,$T$61)</f>
        <v>375.505</v>
      </c>
      <c r="U68" s="18" cm="1">
        <f t="array" aca="1" ref="U68" ca="1">_xll.BDH(E68&amp;" Corp",$N68,$T$61)</f>
        <v>321.101</v>
      </c>
      <c r="V68" s="18">
        <f t="shared" ca="1" si="33"/>
        <v>-54.403999999999996</v>
      </c>
      <c r="W68" s="18">
        <f t="shared" ca="1" si="34"/>
        <v>-35.739854014598542</v>
      </c>
      <c r="X68" s="18">
        <f t="shared" ca="1" si="35"/>
        <v>53.40092920585424</v>
      </c>
      <c r="Y68" s="18" cm="1">
        <f t="array" ref="Y68">_xll.BDP(D68&amp;" Corp","interval_avg","calc_interval=30d","market_data_override=sp210")</f>
        <v>365.22262068965517</v>
      </c>
    </row>
    <row r="69" spans="1:25" x14ac:dyDescent="0.25">
      <c r="A69" s="5" t="s">
        <v>161</v>
      </c>
      <c r="B69" s="11" t="str">
        <f t="shared" si="25"/>
        <v>TELEFO 3 7/8 PERP nc-26</v>
      </c>
      <c r="C69" s="11" t="str">
        <f t="shared" si="26"/>
        <v>TELEFO 2.502 PERP nc-27</v>
      </c>
      <c r="D69" s="22" t="str">
        <f>_xlfn.XLOOKUP(B69,bonds[unique lookup],bonds[ID_ISIN])</f>
        <v>XS1795406658</v>
      </c>
      <c r="E69" s="22" t="str">
        <f>_xlfn.XLOOKUP(C69,bonds[unique lookup],bonds[ID_ISIN])</f>
        <v>XS2109819859</v>
      </c>
      <c r="F69" s="8">
        <f>_xlfn.XLOOKUP(B69,bonds[unique lookup],bonds[nxt_call_dt])</f>
        <v>46195</v>
      </c>
      <c r="G69" s="8">
        <f>_xlfn.XLOOKUP(C69,bonds[unique lookup],bonds[nxt_call_dt])</f>
        <v>46423</v>
      </c>
      <c r="H69" s="17">
        <f t="shared" si="27"/>
        <v>0.61944444444444446</v>
      </c>
      <c r="I69" s="12" t="s">
        <v>35</v>
      </c>
      <c r="J69" s="18" cm="1">
        <f t="array" ref="J69">_xll.BDP(D69&amp;" Corp",$I69)</f>
        <v>400.06434054653812</v>
      </c>
      <c r="K69" s="18" cm="1">
        <f t="array" ref="K69">_xll.BDP(E69&amp;" Corp",$I69)</f>
        <v>356.13727380536199</v>
      </c>
      <c r="L69" s="18">
        <f t="shared" si="28"/>
        <v>-43.927066741176134</v>
      </c>
      <c r="M69" s="18">
        <f t="shared" si="29"/>
        <v>-70.913650344499587</v>
      </c>
      <c r="N69" s="12" t="s">
        <v>36</v>
      </c>
      <c r="O69" s="18" cm="1">
        <f t="array" aca="1" ref="O69" ca="1">_xll.BDH(D69&amp;" Corp",$N69,$O$61)</f>
        <v>322.26799999999997</v>
      </c>
      <c r="P69" s="18" cm="1">
        <f t="array" aca="1" ref="P69" ca="1">_xll.BDH(E69&amp;" Corp",$N69,$O$61)</f>
        <v>363.44</v>
      </c>
      <c r="Q69" s="18">
        <f t="shared" ca="1" si="30"/>
        <v>41.172000000000025</v>
      </c>
      <c r="R69" s="18">
        <f t="shared" ca="1" si="31"/>
        <v>66.466008968609898</v>
      </c>
      <c r="S69" s="18">
        <f t="shared" ca="1" si="32"/>
        <v>-137.37965931310947</v>
      </c>
      <c r="T69" s="18" cm="1">
        <f t="array" aca="1" ref="T69" ca="1">_xll.BDH(D69&amp;" Corp",$N69,$T$61)</f>
        <v>321.101</v>
      </c>
      <c r="U69" s="18" cm="1">
        <f t="array" aca="1" ref="U69" ca="1">_xll.BDH(E69&amp;" Corp",$N69,$T$61)</f>
        <v>365.84399999999999</v>
      </c>
      <c r="V69" s="18">
        <f t="shared" ca="1" si="33"/>
        <v>44.742999999999995</v>
      </c>
      <c r="W69" s="18">
        <f t="shared" ca="1" si="34"/>
        <v>72.23085201793721</v>
      </c>
      <c r="X69" s="18">
        <f t="shared" ca="1" si="35"/>
        <v>-143.14450236243681</v>
      </c>
      <c r="Y69" s="18" cm="1">
        <f t="array" ref="Y69">_xll.BDP(D69&amp;" Corp","interval_avg","calc_interval=30d","market_data_override=sp210")</f>
        <v>318.91951724137931</v>
      </c>
    </row>
    <row r="70" spans="1:25" x14ac:dyDescent="0.25">
      <c r="A70" s="5" t="s">
        <v>161</v>
      </c>
      <c r="B70" s="11" t="str">
        <f t="shared" si="25"/>
        <v>TELEFO 2.502 PERP nc-27</v>
      </c>
      <c r="C70" s="11" t="str">
        <f t="shared" si="26"/>
        <v>TELEFO 2 7/8 PERP nc-27</v>
      </c>
      <c r="D70" s="22" t="str">
        <f>_xlfn.XLOOKUP(B70,bonds[unique lookup],bonds[ID_ISIN])</f>
        <v>XS2109819859</v>
      </c>
      <c r="E70" s="22" t="str">
        <f>_xlfn.XLOOKUP(C70,bonds[unique lookup],bonds[ID_ISIN])</f>
        <v>XS2056371334</v>
      </c>
      <c r="F70" s="8">
        <f>_xlfn.XLOOKUP(B70,bonds[unique lookup],bonds[nxt_call_dt])</f>
        <v>46423</v>
      </c>
      <c r="G70" s="8">
        <f>_xlfn.XLOOKUP(C70,bonds[unique lookup],bonds[nxt_call_dt])</f>
        <v>46562</v>
      </c>
      <c r="H70" s="17">
        <f t="shared" si="27"/>
        <v>0.38611111111111113</v>
      </c>
      <c r="I70" s="12" t="s">
        <v>35</v>
      </c>
      <c r="J70" s="18" cm="1">
        <f t="array" ref="J70">_xll.BDP(D70&amp;" Corp",$I70)</f>
        <v>356.13727380536199</v>
      </c>
      <c r="K70" s="18" cm="1">
        <f t="array" ref="K70">_xll.BDP(E70&amp;" Corp",$I70)</f>
        <v>382.25833678682505</v>
      </c>
      <c r="L70" s="18">
        <f t="shared" si="28"/>
        <v>26.121062981463069</v>
      </c>
      <c r="M70" s="18">
        <f t="shared" si="29"/>
        <v>67.651673908825217</v>
      </c>
      <c r="N70" s="12" t="s">
        <v>36</v>
      </c>
      <c r="O70" s="18" cm="1">
        <f t="array" aca="1" ref="O70" ca="1">_xll.BDH(D70&amp;" Corp",$N70,$O$61)</f>
        <v>363.44</v>
      </c>
      <c r="P70" s="18" cm="1">
        <f t="array" aca="1" ref="P70" ca="1">_xll.BDH(E70&amp;" Corp",$N70,$O$61)</f>
        <v>383.91899999999998</v>
      </c>
      <c r="Q70" s="18">
        <f t="shared" ca="1" si="30"/>
        <v>20.478999999999985</v>
      </c>
      <c r="R70" s="18">
        <f t="shared" ca="1" si="31"/>
        <v>53.039136690647439</v>
      </c>
      <c r="S70" s="18">
        <f t="shared" ca="1" si="32"/>
        <v>14.612537218177778</v>
      </c>
      <c r="T70" s="18" cm="1">
        <f t="array" aca="1" ref="T70" ca="1">_xll.BDH(D70&amp;" Corp",$N70,$T$61)</f>
        <v>365.84399999999999</v>
      </c>
      <c r="U70" s="18" cm="1">
        <f t="array" aca="1" ref="U70" ca="1">_xll.BDH(E70&amp;" Corp",$N70,$T$61)</f>
        <v>383.93299999999999</v>
      </c>
      <c r="V70" s="18">
        <f t="shared" ca="1" si="33"/>
        <v>18.088999999999999</v>
      </c>
      <c r="W70" s="18">
        <f t="shared" ca="1" si="34"/>
        <v>46.849208633093518</v>
      </c>
      <c r="X70" s="18">
        <f t="shared" ca="1" si="35"/>
        <v>20.802465275731699</v>
      </c>
      <c r="Y70" s="18" cm="1">
        <f t="array" ref="Y70">_xll.BDP(D70&amp;" Corp","interval_avg","calc_interval=30d","market_data_override=sp210")</f>
        <v>351.58120689655163</v>
      </c>
    </row>
    <row r="72" spans="1:25" x14ac:dyDescent="0.25">
      <c r="G72" s="5" t="s">
        <v>162</v>
      </c>
      <c r="H72" s="17">
        <f>AVERAGE(H64:H70)</f>
        <v>0.75396825396825395</v>
      </c>
      <c r="M72" s="18">
        <f>AVERAGE(M64:M70)</f>
        <v>6.0921953196667493</v>
      </c>
      <c r="R72" s="18">
        <f t="shared" ref="R72:S72" ca="1" si="36">AVERAGE(R64:R70)</f>
        <v>33.260588783641381</v>
      </c>
      <c r="S72" s="18">
        <f t="shared" ca="1" si="36"/>
        <v>-27.168393463974635</v>
      </c>
      <c r="W72" s="18">
        <f t="shared" ref="W72:X72" ca="1" si="37">AVERAGE(W64:W70)</f>
        <v>32.471419315598148</v>
      </c>
      <c r="X72" s="18">
        <f t="shared" ca="1" si="37"/>
        <v>-26.379223995931405</v>
      </c>
    </row>
    <row r="73" spans="1:25" x14ac:dyDescent="0.25">
      <c r="G73" s="5" t="s">
        <v>167</v>
      </c>
      <c r="H73" s="17">
        <f>_xlfn.STDEV.P(H64:H70)</f>
        <v>0.35794970587711855</v>
      </c>
      <c r="M73" s="18">
        <f>_xlfn.STDEV.P(M64:M70)</f>
        <v>40.275404610880791</v>
      </c>
      <c r="R73" s="18">
        <f t="shared" ref="R73:S73" ca="1" si="38">_xlfn.STDEV.P(R64:R70)</f>
        <v>136.35213741382447</v>
      </c>
      <c r="S73" s="18">
        <f t="shared" ca="1" si="38"/>
        <v>141.83893227982099</v>
      </c>
      <c r="W73" s="18">
        <f t="shared" ref="W73:X73" ca="1" si="39">_xlfn.STDEV.P(W64:W70)</f>
        <v>121.73957294841782</v>
      </c>
      <c r="X73" s="18">
        <f t="shared" ca="1" si="39"/>
        <v>128.64560551555635</v>
      </c>
    </row>
    <row r="75" spans="1:25" x14ac:dyDescent="0.25">
      <c r="A75" s="5" t="s">
        <v>164</v>
      </c>
      <c r="B75" s="11" t="str">
        <f>C53</f>
        <v>TELEFO 2 5/8 PERP nc-23</v>
      </c>
      <c r="C75" s="11" t="str">
        <f>C57</f>
        <v>TELEFO 3 7/8 PERP nc-26</v>
      </c>
      <c r="D75" s="22" t="str">
        <f>_xlfn.XLOOKUP(B75,bonds[unique lookup],bonds[ID_ISIN])</f>
        <v>XS1731823255</v>
      </c>
      <c r="E75" s="22" t="str">
        <f>_xlfn.XLOOKUP(C75,bonds[unique lookup],bonds[ID_ISIN])</f>
        <v>XS1795406658</v>
      </c>
      <c r="F75" s="8">
        <f>_xlfn.XLOOKUP(B75,bonds[unique lookup],bonds[nxt_call_dt])</f>
        <v>44992</v>
      </c>
      <c r="G75" s="8">
        <f>_xlfn.XLOOKUP(C75,bonds[unique lookup],bonds[nxt_call_dt])</f>
        <v>46195</v>
      </c>
      <c r="H75" s="17">
        <f>YEARFRAC(F75,G75)</f>
        <v>3.2916666666666665</v>
      </c>
      <c r="I75" s="12" t="s">
        <v>35</v>
      </c>
      <c r="J75" s="18" cm="1">
        <f t="array" ref="J75">_xll.BDP(D75&amp;" Corp",$I75)</f>
        <v>367.79825768995835</v>
      </c>
      <c r="K75" s="18" cm="1">
        <f t="array" ref="K75">_xll.BDP(E75&amp;" Corp",$I75)</f>
        <v>400.06434054653812</v>
      </c>
      <c r="L75" s="18">
        <f>K75-J75</f>
        <v>32.266082856579771</v>
      </c>
      <c r="M75" s="18">
        <f>L75/H75</f>
        <v>9.8023542855432222</v>
      </c>
      <c r="N75" s="12" t="s">
        <v>36</v>
      </c>
      <c r="O75" s="18" cm="1">
        <f t="array" aca="1" ref="O75" ca="1">_xll.BDH(D75&amp;" Corp",$N75,$O$17)</f>
        <v>246.01300000000001</v>
      </c>
      <c r="P75" s="18" cm="1">
        <f t="array" aca="1" ref="P75" ca="1">_xll.BDH(E75&amp;" Corp",$N75,$O$17)</f>
        <v>322.26799999999997</v>
      </c>
      <c r="Q75" s="18">
        <f ca="1">IFERROR(P75-O75,"-")</f>
        <v>76.254999999999967</v>
      </c>
      <c r="R75" s="18">
        <f ca="1">IFERROR(Q75/H75,"-")</f>
        <v>23.16607594936708</v>
      </c>
      <c r="S75" s="18">
        <f ca="1">IFERROR(M75-R75,"-")</f>
        <v>-13.363721663823858</v>
      </c>
      <c r="T75" s="18" cm="1">
        <f t="array" aca="1" ref="T75" ca="1">_xll.BDH(D75&amp;" Corp",$N75,$T$17)</f>
        <v>244.96700000000001</v>
      </c>
      <c r="U75" s="18" cm="1">
        <f t="array" aca="1" ref="U75" ca="1">_xll.BDH(E75&amp;" Corp",$N75,$T$17)</f>
        <v>321.101</v>
      </c>
      <c r="V75" s="18">
        <f ca="1">IFERROR(U75-T75,"-")</f>
        <v>76.133999999999986</v>
      </c>
      <c r="W75" s="18">
        <f ca="1">IFERROR(V75/H75,"-")</f>
        <v>23.129316455696198</v>
      </c>
      <c r="X75" s="18">
        <f ca="1">IFERROR(M75-W75,"-")</f>
        <v>-13.326962170152976</v>
      </c>
    </row>
    <row r="76" spans="1:25" x14ac:dyDescent="0.25">
      <c r="A76" s="5" t="s">
        <v>164</v>
      </c>
      <c r="B76" s="11" t="str">
        <f>C54</f>
        <v>TELEFO 3 PERP nc-23</v>
      </c>
      <c r="C76" s="11" t="str">
        <f>C59</f>
        <v>TELEFO 2 7/8 PERP nc-27</v>
      </c>
      <c r="D76" s="22" t="str">
        <f>_xlfn.XLOOKUP(B76,bonds[unique lookup],bonds[ID_ISIN])</f>
        <v>XS1795406575</v>
      </c>
      <c r="E76" s="22" t="str">
        <f>_xlfn.XLOOKUP(C76,bonds[unique lookup],bonds[ID_ISIN])</f>
        <v>XS2056371334</v>
      </c>
      <c r="F76" s="8">
        <f>_xlfn.XLOOKUP(B76,bonds[unique lookup],bonds[nxt_call_dt])</f>
        <v>45173</v>
      </c>
      <c r="G76" s="8">
        <f>_xlfn.XLOOKUP(C76,bonds[unique lookup],bonds[nxt_call_dt])</f>
        <v>46562</v>
      </c>
      <c r="H76" s="17">
        <f>YEARFRAC(F76,G76)</f>
        <v>3.8055555555555554</v>
      </c>
      <c r="I76" s="12" t="s">
        <v>35</v>
      </c>
      <c r="J76" s="18" cm="1">
        <f t="array" ref="J76">_xll.BDP(D76&amp;" Corp",$I76)</f>
        <v>376.27144556373077</v>
      </c>
      <c r="K76" s="18" cm="1">
        <f t="array" ref="K76">_xll.BDP(E76&amp;" Corp",$I76)</f>
        <v>382.25833678682505</v>
      </c>
      <c r="L76" s="18">
        <f>K76-J76</f>
        <v>5.9868912230942897</v>
      </c>
      <c r="M76" s="18">
        <f>L76/H76</f>
        <v>1.5731976936598133</v>
      </c>
      <c r="N76" s="12" t="s">
        <v>36</v>
      </c>
      <c r="O76" s="18" cm="1">
        <f t="array" aca="1" ref="O76" ca="1">_xll.BDH(D76&amp;" Corp",$N76,$O$17)</f>
        <v>408.23599999999999</v>
      </c>
      <c r="P76" s="18" cm="1">
        <f t="array" aca="1" ref="P76" ca="1">_xll.BDH(E76&amp;" Corp",$N76,$O$17)</f>
        <v>383.91899999999998</v>
      </c>
      <c r="Q76" s="18">
        <f ca="1">IFERROR(P76-O76,"-")</f>
        <v>-24.317000000000007</v>
      </c>
      <c r="R76" s="18">
        <f ca="1">IFERROR(Q76/H76,"-")</f>
        <v>-6.3898686131386881</v>
      </c>
      <c r="S76" s="18">
        <f ca="1">IFERROR(M76-R76,"-")</f>
        <v>7.9630663067985017</v>
      </c>
      <c r="T76" s="18" cm="1">
        <f t="array" aca="1" ref="T76" ca="1">_xll.BDH(D76&amp;" Corp",$N76,$T$17)</f>
        <v>389.084</v>
      </c>
      <c r="U76" s="18" cm="1">
        <f t="array" aca="1" ref="U76" ca="1">_xll.BDH(E76&amp;" Corp",$N76,$T$17)</f>
        <v>383.93299999999999</v>
      </c>
      <c r="V76" s="18">
        <f ca="1">IFERROR(U76-T76,"-")</f>
        <v>-5.1510000000000105</v>
      </c>
      <c r="W76" s="18">
        <f ca="1">IFERROR(V76/H76,"-")</f>
        <v>-1.3535474452554772</v>
      </c>
      <c r="X76" s="18">
        <f ca="1">IFERROR(M76-W76,"-")</f>
        <v>2.9267451389152903</v>
      </c>
    </row>
    <row r="78" spans="1:25" x14ac:dyDescent="0.25">
      <c r="A78" s="5" t="s">
        <v>165</v>
      </c>
      <c r="B78" s="11" t="str">
        <f>C55</f>
        <v>TELEFO 5 7/8 PERP nc-24</v>
      </c>
      <c r="C78" s="11" t="str">
        <f>C59</f>
        <v>TELEFO 2 7/8 PERP nc-27</v>
      </c>
      <c r="D78" s="22" t="str">
        <f>_xlfn.XLOOKUP(B78,bonds[unique lookup],bonds[ID_ISIN])</f>
        <v>XS1050461034</v>
      </c>
      <c r="E78" s="22" t="str">
        <f>_xlfn.XLOOKUP(C78,bonds[unique lookup],bonds[ID_ISIN])</f>
        <v>XS2056371334</v>
      </c>
      <c r="F78" s="8">
        <f>_xlfn.XLOOKUP(B78,bonds[unique lookup],bonds[nxt_call_dt])</f>
        <v>45382</v>
      </c>
      <c r="G78" s="8">
        <f>_xlfn.XLOOKUP(C78,bonds[unique lookup],bonds[nxt_call_dt])</f>
        <v>46562</v>
      </c>
      <c r="H78" s="17">
        <f>YEARFRAC(F78,G78)</f>
        <v>3.2333333333333334</v>
      </c>
      <c r="I78" s="12" t="s">
        <v>35</v>
      </c>
      <c r="J78" s="18" cm="1">
        <f t="array" ref="J78">_xll.BDP(D78&amp;" Corp",$I78)</f>
        <v>361.1019011585168</v>
      </c>
      <c r="K78" s="18" cm="1">
        <f t="array" ref="K78">_xll.BDP(E78&amp;" Corp",$I78)</f>
        <v>382.25833678682505</v>
      </c>
      <c r="L78" s="18">
        <f>K78-J78</f>
        <v>21.156435628308259</v>
      </c>
      <c r="M78" s="18">
        <f>L78/H78</f>
        <v>6.5432275139097706</v>
      </c>
      <c r="N78" s="12" t="s">
        <v>36</v>
      </c>
      <c r="O78" s="18" cm="1">
        <f t="array" aca="1" ref="O78" ca="1">_xll.BDH(D78&amp;" Corp",$N78,$O$17)</f>
        <v>390.27300000000002</v>
      </c>
      <c r="P78" s="18" cm="1">
        <f t="array" aca="1" ref="P78" ca="1">_xll.BDH(E78&amp;" Corp",$N78,$O$17)</f>
        <v>383.91899999999998</v>
      </c>
      <c r="Q78" s="18">
        <f ca="1">IFERROR(P78-O78,"-")</f>
        <v>-6.3540000000000418</v>
      </c>
      <c r="R78" s="18">
        <f ca="1">IFERROR(Q78/H78,"-")</f>
        <v>-1.9651546391752706</v>
      </c>
      <c r="S78" s="18">
        <f ca="1">IFERROR(M78-R78,"-")</f>
        <v>8.5083821530850408</v>
      </c>
      <c r="T78" s="18" cm="1">
        <f t="array" aca="1" ref="T78" ca="1">_xll.BDH(D78&amp;" Corp",$N78,$T$17)</f>
        <v>369.44099999999997</v>
      </c>
      <c r="U78" s="18" cm="1">
        <f t="array" aca="1" ref="U78" ca="1">_xll.BDH(E78&amp;" Corp",$N78,$T$17)</f>
        <v>383.93299999999999</v>
      </c>
      <c r="V78" s="18">
        <f ca="1">IFERROR(U78-T78,"-")</f>
        <v>14.492000000000019</v>
      </c>
      <c r="W78" s="18">
        <f ca="1">IFERROR(V78/H78,"-")</f>
        <v>4.4820618556701088</v>
      </c>
      <c r="X78" s="18">
        <f ca="1">IFERROR(M78-W78,"-")</f>
        <v>2.0611656582396618</v>
      </c>
    </row>
    <row r="90" spans="2:7" x14ac:dyDescent="0.25">
      <c r="B90" s="5" t="s">
        <v>2</v>
      </c>
      <c r="C90" s="11" t="s">
        <v>168</v>
      </c>
    </row>
    <row r="91" spans="2:7" ht="11" x14ac:dyDescent="0.3">
      <c r="C91" s="4" t="s">
        <v>146</v>
      </c>
      <c r="D91" s="4" t="s">
        <v>147</v>
      </c>
      <c r="G91" s="5">
        <f>COUNTA(_xlfn.ANCHORARRAY(C92))</f>
        <v>6</v>
      </c>
    </row>
    <row r="92" spans="2:7" x14ac:dyDescent="0.25">
      <c r="C92" s="5" t="str" cm="1">
        <f t="array" ref="C92:C97">_xlfn._xlws.FILTER(bonds[unique lookup],(bonds[ticker]=C90)*(bonds[crncy]="eur"))</f>
        <v>TOTAL 2 1/4 PERP nc-21</v>
      </c>
      <c r="D92" s="22" t="str" cm="1">
        <f t="array" ref="D92:D97">_xlfn.XLOOKUP(_xlfn.ANCHORARRAY(C92),bonds[unique lookup],bonds[ID_ISIN])</f>
        <v>XS1195201931</v>
      </c>
      <c r="E92" s="5" t="str" cm="1">
        <f t="array" ref="E92">_xll.BDP(D92&amp;" Corp","crncy")</f>
        <v>EUR</v>
      </c>
    </row>
    <row r="93" spans="2:7" x14ac:dyDescent="0.25">
      <c r="C93" s="5" t="str">
        <v>TOTAL 3 7/8 PERP nc-22</v>
      </c>
      <c r="D93" s="22" t="str">
        <v>XS1413581205</v>
      </c>
      <c r="E93" s="5" t="str" cm="1">
        <f t="array" ref="E93">_xll.BDP(D93&amp;" Corp","crncy")</f>
        <v>EUR</v>
      </c>
    </row>
    <row r="94" spans="2:7" x14ac:dyDescent="0.25">
      <c r="C94" s="5" t="str">
        <v>TOTAL 2.708 PERP nc-23</v>
      </c>
      <c r="D94" s="22" t="str">
        <v>XS1501167164</v>
      </c>
      <c r="E94" s="5" t="str" cm="1">
        <f t="array" ref="E94">_xll.BDP(D94&amp;" Corp","crncy")</f>
        <v>EUR</v>
      </c>
    </row>
    <row r="95" spans="2:7" x14ac:dyDescent="0.25">
      <c r="C95" s="5" t="str">
        <v>TOTAL 1 3/4 PERP nc-24</v>
      </c>
      <c r="D95" s="22" t="str">
        <v>XS1974787480</v>
      </c>
      <c r="E95" s="5" t="str" cm="1">
        <f t="array" ref="E95">_xll.BDP(D95&amp;" Corp","crncy")</f>
        <v>EUR</v>
      </c>
    </row>
    <row r="96" spans="2:7" x14ac:dyDescent="0.25">
      <c r="C96" s="5" t="str">
        <v>TOTAL 2 5/8 PERP nc-25</v>
      </c>
      <c r="D96" s="22" t="str">
        <v>XS1195202822</v>
      </c>
      <c r="E96" s="5" t="str" cm="1">
        <f t="array" ref="E96">_xll.BDP(D96&amp;" Corp","crncy")</f>
        <v>EUR</v>
      </c>
    </row>
    <row r="97" spans="1:24" x14ac:dyDescent="0.25">
      <c r="C97" s="5" t="str">
        <v>TOTAL 3.369 PERP nc-26</v>
      </c>
      <c r="D97" s="22" t="str">
        <v>XS1501166869</v>
      </c>
      <c r="E97" s="5" t="str" cm="1">
        <f t="array" ref="E97">_xll.BDP(D97&amp;" Corp","crncy")</f>
        <v>EUR</v>
      </c>
      <c r="O97" s="23">
        <v>7</v>
      </c>
      <c r="T97" s="23">
        <v>25</v>
      </c>
    </row>
    <row r="98" spans="1:24" x14ac:dyDescent="0.25">
      <c r="O98" s="8">
        <f ca="1">WORKDAY(TODAY(),-O97)</f>
        <v>44006</v>
      </c>
      <c r="T98" s="8">
        <f ca="1">WORKDAY(TODAY(),-T97)</f>
        <v>43980</v>
      </c>
    </row>
    <row r="100" spans="1:24" ht="33" x14ac:dyDescent="0.3">
      <c r="B100" s="19" t="s">
        <v>11</v>
      </c>
      <c r="C100" s="19" t="s">
        <v>12</v>
      </c>
      <c r="D100" s="19" t="s">
        <v>9</v>
      </c>
      <c r="E100" s="19" t="s">
        <v>10</v>
      </c>
      <c r="F100" s="19" t="s">
        <v>13</v>
      </c>
      <c r="G100" s="19" t="s">
        <v>14</v>
      </c>
      <c r="H100" s="19" t="s">
        <v>15</v>
      </c>
      <c r="I100" s="20" t="s">
        <v>16</v>
      </c>
      <c r="J100" s="19" t="s">
        <v>3</v>
      </c>
      <c r="K100" s="19" t="s">
        <v>4</v>
      </c>
      <c r="L100" s="19" t="s">
        <v>150</v>
      </c>
      <c r="M100" s="19" t="s">
        <v>151</v>
      </c>
      <c r="N100" s="19" t="s">
        <v>152</v>
      </c>
      <c r="O100" s="19" t="s">
        <v>153</v>
      </c>
      <c r="P100" s="19" t="s">
        <v>154</v>
      </c>
      <c r="Q100" s="19" t="s">
        <v>155</v>
      </c>
      <c r="R100" s="19" t="s">
        <v>156</v>
      </c>
      <c r="S100" s="19" t="s">
        <v>157</v>
      </c>
      <c r="T100" s="19" t="s">
        <v>28</v>
      </c>
      <c r="U100" s="19" t="s">
        <v>29</v>
      </c>
      <c r="V100" s="19" t="s">
        <v>158</v>
      </c>
      <c r="W100" s="19" t="s">
        <v>159</v>
      </c>
      <c r="X100" s="19" t="s">
        <v>160</v>
      </c>
    </row>
    <row r="101" spans="1:24" x14ac:dyDescent="0.25">
      <c r="A101" s="5" t="s">
        <v>161</v>
      </c>
      <c r="B101" s="11" t="str">
        <f>C92</f>
        <v>TOTAL 2 1/4 PERP nc-21</v>
      </c>
      <c r="C101" s="11" t="str">
        <f>C93</f>
        <v>TOTAL 3 7/8 PERP nc-22</v>
      </c>
      <c r="D101" s="22" t="str">
        <f>_xlfn.XLOOKUP(B101,bonds[unique lookup],bonds[ID_ISIN])</f>
        <v>XS1195201931</v>
      </c>
      <c r="E101" s="22" t="str">
        <f>_xlfn.XLOOKUP(C101,bonds[unique lookup],bonds[ID_ISIN])</f>
        <v>XS1413581205</v>
      </c>
      <c r="F101" s="8">
        <f>_xlfn.XLOOKUP(B101,bonds[unique lookup],bonds[nxt_call_dt])</f>
        <v>44253</v>
      </c>
      <c r="G101" s="8">
        <f>_xlfn.XLOOKUP(C101,bonds[unique lookup],bonds[nxt_call_dt])</f>
        <v>44699</v>
      </c>
      <c r="H101" s="17">
        <f>YEARFRAC(F101,G101)</f>
        <v>1.2277777777777779</v>
      </c>
      <c r="I101" s="12" t="s">
        <v>35</v>
      </c>
      <c r="J101" s="18" cm="1">
        <f t="array" ref="J101">_xll.BDP(D101&amp;" Corp",$I101)</f>
        <v>177.90533448541237</v>
      </c>
      <c r="K101" s="18" cm="1">
        <f t="array" ref="K101">_xll.BDP(E101&amp;" Corp",$I101)</f>
        <v>198.5378286015075</v>
      </c>
      <c r="L101" s="18">
        <f>K101-J101</f>
        <v>20.632494116095131</v>
      </c>
      <c r="M101" s="18">
        <f>L101/H101</f>
        <v>16.804746338901012</v>
      </c>
      <c r="N101" s="12" t="s">
        <v>36</v>
      </c>
      <c r="O101" s="18" cm="1">
        <f t="array" aca="1" ref="O101" ca="1">_xll.BDH(D101&amp;" Corp",$N101,$O$98)</f>
        <v>248.203</v>
      </c>
      <c r="P101" s="18" cm="1">
        <f t="array" aca="1" ref="P101" ca="1">_xll.BDH(E101&amp;" Corp",$N101,$O$98)</f>
        <v>256.33100000000002</v>
      </c>
      <c r="Q101" s="18">
        <f ca="1">IFERROR(P101-O101,"-")</f>
        <v>8.1280000000000143</v>
      </c>
      <c r="R101" s="18">
        <f ca="1">IFERROR(Q101/H101,"-")</f>
        <v>6.6200904977375679</v>
      </c>
      <c r="S101" s="18">
        <f ca="1">IFERROR(M101-R101,"-")</f>
        <v>10.184655841163444</v>
      </c>
      <c r="T101" s="18" cm="1">
        <f t="array" aca="1" ref="T101" ca="1">_xll.BDH(D101&amp;" Corp",$N101,$T$98)</f>
        <v>157.21299999999999</v>
      </c>
      <c r="U101" s="18" cm="1">
        <f t="array" aca="1" ref="U101" ca="1">_xll.BDH(E101&amp;" Corp",$N101,$T$98)</f>
        <v>173.67099999999999</v>
      </c>
      <c r="V101" s="18">
        <f ca="1">IFERROR(U101-T101,"-")</f>
        <v>16.457999999999998</v>
      </c>
      <c r="W101" s="18">
        <f ca="1">IFERROR(V101/H101,"-")</f>
        <v>13.404705882352939</v>
      </c>
      <c r="X101" s="18">
        <f ca="1">IFERROR(M101-W101,"-")</f>
        <v>3.4000404565480729</v>
      </c>
    </row>
    <row r="102" spans="1:24" x14ac:dyDescent="0.25">
      <c r="A102" s="5" t="s">
        <v>161</v>
      </c>
      <c r="B102" s="11" t="str">
        <f t="shared" ref="B102:B105" si="40">C93</f>
        <v>TOTAL 3 7/8 PERP nc-22</v>
      </c>
      <c r="C102" s="11" t="str">
        <f t="shared" ref="C102:C105" si="41">C94</f>
        <v>TOTAL 2.708 PERP nc-23</v>
      </c>
      <c r="D102" s="22" t="str">
        <f>_xlfn.XLOOKUP(B102,bonds[unique lookup],bonds[ID_ISIN])</f>
        <v>XS1413581205</v>
      </c>
      <c r="E102" s="22" t="str">
        <f>_xlfn.XLOOKUP(C102,bonds[unique lookup],bonds[ID_ISIN])</f>
        <v>XS1501167164</v>
      </c>
      <c r="F102" s="8">
        <f>_xlfn.XLOOKUP(B102,bonds[unique lookup],bonds[nxt_call_dt])</f>
        <v>44699</v>
      </c>
      <c r="G102" s="8">
        <f>_xlfn.XLOOKUP(C102,bonds[unique lookup],bonds[nxt_call_dt])</f>
        <v>45051</v>
      </c>
      <c r="H102" s="17">
        <f t="shared" ref="H102:H105" si="42">YEARFRAC(F102,G102)</f>
        <v>0.96388888888888891</v>
      </c>
      <c r="I102" s="12" t="s">
        <v>35</v>
      </c>
      <c r="J102" s="18" cm="1">
        <f t="array" ref="J102">_xll.BDP(D102&amp;" Corp",$I102)</f>
        <v>198.5378286015075</v>
      </c>
      <c r="K102" s="18" cm="1">
        <f t="array" ref="K102">_xll.BDP(E102&amp;" Corp",$I102)</f>
        <v>212.14032647646678</v>
      </c>
      <c r="L102" s="18">
        <f t="shared" ref="L102:L105" si="43">K102-J102</f>
        <v>13.602497874959283</v>
      </c>
      <c r="M102" s="18">
        <f t="shared" ref="M102:M105" si="44">L102/H102</f>
        <v>14.112101541744501</v>
      </c>
      <c r="N102" s="12" t="s">
        <v>36</v>
      </c>
      <c r="O102" s="18" cm="1">
        <f t="array" aca="1" ref="O102" ca="1">_xll.BDH(D102&amp;" Corp",$N102,$O$98)</f>
        <v>256.33100000000002</v>
      </c>
      <c r="P102" s="18" cm="1">
        <f t="array" aca="1" ref="P102" ca="1">_xll.BDH(E102&amp;" Corp",$N102,$O$98)</f>
        <v>245.17599999999999</v>
      </c>
      <c r="Q102" s="18">
        <f t="shared" ref="Q102:Q105" ca="1" si="45">IFERROR(P102-O102,"-")</f>
        <v>-11.15500000000003</v>
      </c>
      <c r="R102" s="18">
        <f t="shared" ref="R102:R105" ca="1" si="46">IFERROR(Q102/H102,"-")</f>
        <v>-11.572910662824238</v>
      </c>
      <c r="S102" s="18">
        <f t="shared" ref="S102:S105" ca="1" si="47">IFERROR(M102-R102,"-")</f>
        <v>25.685012204568739</v>
      </c>
      <c r="T102" s="18" cm="1">
        <f t="array" aca="1" ref="T102" ca="1">_xll.BDH(D102&amp;" Corp",$N102,$T$98)</f>
        <v>173.67099999999999</v>
      </c>
      <c r="U102" s="18" cm="1">
        <f t="array" aca="1" ref="U102" ca="1">_xll.BDH(E102&amp;" Corp",$N102,$T$98)</f>
        <v>191.80099999999999</v>
      </c>
      <c r="V102" s="18">
        <f t="shared" ref="V102:V105" ca="1" si="48">IFERROR(U102-T102,"-")</f>
        <v>18.129999999999995</v>
      </c>
      <c r="W102" s="18">
        <f t="shared" ref="W102:W105" ca="1" si="49">IFERROR(V102/H102,"-")</f>
        <v>18.809221902017285</v>
      </c>
      <c r="X102" s="18">
        <f t="shared" ref="X102:X105" ca="1" si="50">IFERROR(M102-W102,"-")</f>
        <v>-4.697120360272784</v>
      </c>
    </row>
    <row r="103" spans="1:24" x14ac:dyDescent="0.25">
      <c r="A103" s="5" t="s">
        <v>161</v>
      </c>
      <c r="B103" s="11" t="str">
        <f t="shared" si="40"/>
        <v>TOTAL 2.708 PERP nc-23</v>
      </c>
      <c r="C103" s="11" t="str">
        <f t="shared" si="41"/>
        <v>TOTAL 1 3/4 PERP nc-24</v>
      </c>
      <c r="D103" s="22" t="str">
        <f>_xlfn.XLOOKUP(B103,bonds[unique lookup],bonds[ID_ISIN])</f>
        <v>XS1501167164</v>
      </c>
      <c r="E103" s="22" t="str">
        <f>_xlfn.XLOOKUP(C103,bonds[unique lookup],bonds[ID_ISIN])</f>
        <v>XS1974787480</v>
      </c>
      <c r="F103" s="8">
        <f>_xlfn.XLOOKUP(B103,bonds[unique lookup],bonds[nxt_call_dt])</f>
        <v>45051</v>
      </c>
      <c r="G103" s="8">
        <f>_xlfn.XLOOKUP(C103,bonds[unique lookup],bonds[nxt_call_dt])</f>
        <v>45386</v>
      </c>
      <c r="H103" s="17">
        <f t="shared" si="42"/>
        <v>0.91388888888888886</v>
      </c>
      <c r="I103" s="12" t="s">
        <v>35</v>
      </c>
      <c r="J103" s="18" cm="1">
        <f t="array" ref="J103">_xll.BDP(D103&amp;" Corp",$I103)</f>
        <v>212.14032647646678</v>
      </c>
      <c r="K103" s="18" cm="1">
        <f t="array" ref="K103">_xll.BDP(E103&amp;" Corp",$I103)</f>
        <v>223.9038204187504</v>
      </c>
      <c r="L103" s="18">
        <f t="shared" si="43"/>
        <v>11.763493942283617</v>
      </c>
      <c r="M103" s="18">
        <f t="shared" si="44"/>
        <v>12.871908265112772</v>
      </c>
      <c r="N103" s="12" t="s">
        <v>36</v>
      </c>
      <c r="O103" s="18" cm="1">
        <f t="array" aca="1" ref="O103" ca="1">_xll.BDH(D103&amp;" Corp",$N103,$O$98)</f>
        <v>245.17599999999999</v>
      </c>
      <c r="P103" s="18" cm="1">
        <f t="array" aca="1" ref="P103" ca="1">_xll.BDH(E103&amp;" Corp",$N103,$O$98)</f>
        <v>248.35499999999999</v>
      </c>
      <c r="Q103" s="18">
        <f t="shared" ca="1" si="45"/>
        <v>3.179000000000002</v>
      </c>
      <c r="R103" s="18">
        <f t="shared" ca="1" si="46"/>
        <v>3.4785410334346527</v>
      </c>
      <c r="S103" s="18">
        <f t="shared" ca="1" si="47"/>
        <v>9.3933672316781198</v>
      </c>
      <c r="T103" s="18" cm="1">
        <f t="array" aca="1" ref="T103" ca="1">_xll.BDH(D103&amp;" Corp",$N103,$T$98)</f>
        <v>191.80099999999999</v>
      </c>
      <c r="U103" s="18" cm="1">
        <f t="array" aca="1" ref="U103" ca="1">_xll.BDH(E103&amp;" Corp",$N103,$T$98)</f>
        <v>209.41200000000001</v>
      </c>
      <c r="V103" s="18">
        <f t="shared" ca="1" si="48"/>
        <v>17.611000000000018</v>
      </c>
      <c r="W103" s="18">
        <f t="shared" ca="1" si="49"/>
        <v>19.270395136778138</v>
      </c>
      <c r="X103" s="18">
        <f t="shared" ca="1" si="50"/>
        <v>-6.3984868716653658</v>
      </c>
    </row>
    <row r="104" spans="1:24" x14ac:dyDescent="0.25">
      <c r="A104" s="5" t="s">
        <v>161</v>
      </c>
      <c r="B104" s="11" t="str">
        <f t="shared" si="40"/>
        <v>TOTAL 1 3/4 PERP nc-24</v>
      </c>
      <c r="C104" s="11" t="str">
        <f t="shared" si="41"/>
        <v>TOTAL 2 5/8 PERP nc-25</v>
      </c>
      <c r="D104" s="22" t="str">
        <f>_xlfn.XLOOKUP(B104,bonds[unique lookup],bonds[ID_ISIN])</f>
        <v>XS1974787480</v>
      </c>
      <c r="E104" s="22" t="str">
        <f>_xlfn.XLOOKUP(C104,bonds[unique lookup],bonds[ID_ISIN])</f>
        <v>XS1195202822</v>
      </c>
      <c r="F104" s="8">
        <f>_xlfn.XLOOKUP(B104,bonds[unique lookup],bonds[nxt_call_dt])</f>
        <v>45386</v>
      </c>
      <c r="G104" s="8">
        <f>_xlfn.XLOOKUP(C104,bonds[unique lookup],bonds[nxt_call_dt])</f>
        <v>45714</v>
      </c>
      <c r="H104" s="17">
        <f t="shared" si="42"/>
        <v>0.89444444444444449</v>
      </c>
      <c r="I104" s="12" t="s">
        <v>35</v>
      </c>
      <c r="J104" s="18" cm="1">
        <f t="array" ref="J104">_xll.BDP(D104&amp;" Corp",$I104)</f>
        <v>223.9038204187504</v>
      </c>
      <c r="K104" s="18" cm="1">
        <f t="array" ref="K104">_xll.BDP(E104&amp;" Corp",$I104)</f>
        <v>231.26711250525477</v>
      </c>
      <c r="L104" s="18">
        <f t="shared" si="43"/>
        <v>7.3632920865043729</v>
      </c>
      <c r="M104" s="18">
        <f t="shared" si="44"/>
        <v>8.2322520221788018</v>
      </c>
      <c r="N104" s="12" t="s">
        <v>36</v>
      </c>
      <c r="O104" s="18" cm="1">
        <f t="array" aca="1" ref="O104" ca="1">_xll.BDH(D104&amp;" Corp",$N104,$O$98)</f>
        <v>248.35499999999999</v>
      </c>
      <c r="P104" s="18" cm="1">
        <f t="array" aca="1" ref="P104" ca="1">_xll.BDH(E104&amp;" Corp",$N104,$O$98)</f>
        <v>250.71899999999999</v>
      </c>
      <c r="Q104" s="18">
        <f t="shared" ca="1" si="45"/>
        <v>2.3640000000000043</v>
      </c>
      <c r="R104" s="18">
        <f t="shared" ca="1" si="46"/>
        <v>2.6429813664596322</v>
      </c>
      <c r="S104" s="18">
        <f t="shared" ca="1" si="47"/>
        <v>5.5892706557191696</v>
      </c>
      <c r="T104" s="18" cm="1">
        <f t="array" aca="1" ref="T104" ca="1">_xll.BDH(D104&amp;" Corp",$N104,$T$98)</f>
        <v>209.41200000000001</v>
      </c>
      <c r="U104" s="18" cm="1">
        <f t="array" aca="1" ref="U104" ca="1">_xll.BDH(E104&amp;" Corp",$N104,$T$98)</f>
        <v>224.93899999999999</v>
      </c>
      <c r="V104" s="18">
        <f t="shared" ca="1" si="48"/>
        <v>15.526999999999987</v>
      </c>
      <c r="W104" s="18">
        <f t="shared" ca="1" si="49"/>
        <v>17.359378881987563</v>
      </c>
      <c r="X104" s="18">
        <f t="shared" ca="1" si="50"/>
        <v>-9.1271268598087616</v>
      </c>
    </row>
    <row r="105" spans="1:24" x14ac:dyDescent="0.25">
      <c r="A105" s="5" t="s">
        <v>161</v>
      </c>
      <c r="B105" s="11" t="str">
        <f t="shared" si="40"/>
        <v>TOTAL 2 5/8 PERP nc-25</v>
      </c>
      <c r="C105" s="11" t="str">
        <f t="shared" si="41"/>
        <v>TOTAL 3.369 PERP nc-26</v>
      </c>
      <c r="D105" s="22" t="str">
        <f>_xlfn.XLOOKUP(B105,bonds[unique lookup],bonds[ID_ISIN])</f>
        <v>XS1195202822</v>
      </c>
      <c r="E105" s="22" t="str">
        <f>_xlfn.XLOOKUP(C105,bonds[unique lookup],bonds[ID_ISIN])</f>
        <v>XS1501166869</v>
      </c>
      <c r="F105" s="8">
        <f>_xlfn.XLOOKUP(B105,bonds[unique lookup],bonds[nxt_call_dt])</f>
        <v>45714</v>
      </c>
      <c r="G105" s="8">
        <f>_xlfn.XLOOKUP(C105,bonds[unique lookup],bonds[nxt_call_dt])</f>
        <v>46301</v>
      </c>
      <c r="H105" s="17">
        <f t="shared" si="42"/>
        <v>1.6111111111111112</v>
      </c>
      <c r="I105" s="12" t="s">
        <v>35</v>
      </c>
      <c r="J105" s="18" cm="1">
        <f t="array" ref="J105">_xll.BDP(D105&amp;" Corp",$I105)</f>
        <v>231.26711250525477</v>
      </c>
      <c r="K105" s="18" cm="1">
        <f t="array" ref="K105">_xll.BDP(E105&amp;" Corp",$I105)</f>
        <v>236.96130881618359</v>
      </c>
      <c r="L105" s="18">
        <f t="shared" si="43"/>
        <v>5.6941963109288167</v>
      </c>
      <c r="M105" s="18">
        <f t="shared" si="44"/>
        <v>3.534328744714438</v>
      </c>
      <c r="N105" s="12" t="s">
        <v>36</v>
      </c>
      <c r="O105" s="18" cm="1">
        <f t="array" aca="1" ref="O105" ca="1">_xll.BDH(D105&amp;" Corp",$N105,$O$98)</f>
        <v>250.71899999999999</v>
      </c>
      <c r="P105" s="18" cm="1">
        <f t="array" aca="1" ref="P105" ca="1">_xll.BDH(E105&amp;" Corp",$N105,$O$98)</f>
        <v>255.417</v>
      </c>
      <c r="Q105" s="18">
        <f t="shared" ca="1" si="45"/>
        <v>4.6980000000000075</v>
      </c>
      <c r="R105" s="18">
        <f t="shared" ca="1" si="46"/>
        <v>2.9160000000000044</v>
      </c>
      <c r="S105" s="18">
        <f t="shared" ca="1" si="47"/>
        <v>0.61832874471443366</v>
      </c>
      <c r="T105" s="18" cm="1">
        <f t="array" aca="1" ref="T105" ca="1">_xll.BDH(D105&amp;" Corp",$N105,$T$98)</f>
        <v>224.93899999999999</v>
      </c>
      <c r="U105" s="18" cm="1">
        <f t="array" aca="1" ref="U105" ca="1">_xll.BDH(E105&amp;" Corp",$N105,$T$98)</f>
        <v>224.398</v>
      </c>
      <c r="V105" s="18">
        <f t="shared" ca="1" si="48"/>
        <v>-0.54099999999999682</v>
      </c>
      <c r="W105" s="18">
        <f t="shared" ca="1" si="49"/>
        <v>-0.3357931034482739</v>
      </c>
      <c r="X105" s="18">
        <f t="shared" ca="1" si="50"/>
        <v>3.8701218481627118</v>
      </c>
    </row>
    <row r="107" spans="1:24" x14ac:dyDescent="0.25">
      <c r="G107" s="5" t="s">
        <v>162</v>
      </c>
      <c r="H107" s="17">
        <f>AVERAGE(H99:H105)</f>
        <v>1.1222222222222222</v>
      </c>
      <c r="M107" s="18">
        <f>AVERAGE(M101:M105)</f>
        <v>11.111067382530305</v>
      </c>
      <c r="R107" s="18">
        <f t="shared" ref="R107:S107" ca="1" si="51">AVERAGE(R101:R105)</f>
        <v>0.81694044696152379</v>
      </c>
      <c r="S107" s="18">
        <f t="shared" ca="1" si="51"/>
        <v>10.29412693556878</v>
      </c>
      <c r="W107" s="18">
        <f t="shared" ref="W107:X107" ca="1" si="52">AVERAGE(W101:W105)</f>
        <v>13.701581739937533</v>
      </c>
      <c r="X107" s="18">
        <f t="shared" ca="1" si="52"/>
        <v>-2.5905143574072254</v>
      </c>
    </row>
    <row r="108" spans="1:24" x14ac:dyDescent="0.25">
      <c r="G108" s="5" t="s">
        <v>167</v>
      </c>
      <c r="H108" s="17">
        <f>_xlfn.STDEV.P(H99:H105)</f>
        <v>0.27221655322895433</v>
      </c>
      <c r="M108" s="18">
        <f>_xlfn.STDEV.P(M101:M105)</f>
        <v>4.6950887736342217</v>
      </c>
      <c r="R108" s="18">
        <f t="shared" ref="R108:S108" ca="1" si="53">_xlfn.STDEV.P(R101:R105)</f>
        <v>6.3562497616641709</v>
      </c>
      <c r="S108" s="18">
        <f t="shared" ca="1" si="53"/>
        <v>8.4078468655460661</v>
      </c>
      <c r="W108" s="18">
        <f t="shared" ref="W108:X108" ca="1" si="54">_xlfn.STDEV.P(W101:W105)</f>
        <v>7.3159439360214886</v>
      </c>
      <c r="X108" s="18">
        <f t="shared" ca="1" si="54"/>
        <v>5.2781116639747383</v>
      </c>
    </row>
    <row r="110" spans="1:24" x14ac:dyDescent="0.25">
      <c r="A110" s="5" t="s">
        <v>164</v>
      </c>
      <c r="B110" s="11" t="str">
        <f>C93</f>
        <v>TOTAL 3 7/8 PERP nc-22</v>
      </c>
      <c r="C110" s="11" t="str">
        <f>C96</f>
        <v>TOTAL 2 5/8 PERP nc-25</v>
      </c>
      <c r="D110" s="22" t="str">
        <f>_xlfn.XLOOKUP(B110,bonds[unique lookup],bonds[ID_ISIN])</f>
        <v>XS1413581205</v>
      </c>
      <c r="E110" s="22" t="str">
        <f>_xlfn.XLOOKUP(C110,bonds[unique lookup],bonds[ID_ISIN])</f>
        <v>XS1195202822</v>
      </c>
      <c r="F110" s="8">
        <f>_xlfn.XLOOKUP(B110,bonds[unique lookup],bonds[nxt_call_dt])</f>
        <v>44699</v>
      </c>
      <c r="G110" s="8">
        <f>_xlfn.XLOOKUP(C110,bonds[unique lookup],bonds[nxt_call_dt])</f>
        <v>45714</v>
      </c>
      <c r="H110" s="17">
        <f t="shared" ref="H110" si="55">YEARFRAC(F110,G110)</f>
        <v>2.7722222222222221</v>
      </c>
      <c r="I110" s="12" t="s">
        <v>35</v>
      </c>
      <c r="J110" s="18" cm="1">
        <f t="array" ref="J110">_xll.BDP(D110&amp;" Corp",$I110)</f>
        <v>198.5378286015075</v>
      </c>
      <c r="K110" s="18" cm="1">
        <f t="array" ref="K110">_xll.BDP(E110&amp;" Corp",$I110)</f>
        <v>231.26711250525477</v>
      </c>
      <c r="L110" s="18">
        <f t="shared" ref="L110" si="56">K110-J110</f>
        <v>32.729283903747273</v>
      </c>
      <c r="M110" s="18">
        <f t="shared" ref="M110" si="57">L110/H110</f>
        <v>11.806154514377774</v>
      </c>
      <c r="N110" s="12" t="s">
        <v>36</v>
      </c>
      <c r="O110" s="18" cm="1">
        <f t="array" aca="1" ref="O110" ca="1">_xll.BDH(D110&amp;" Corp",$N110,$O$98)</f>
        <v>256.33100000000002</v>
      </c>
      <c r="P110" s="18" cm="1">
        <f t="array" aca="1" ref="P110" ca="1">_xll.BDH(E110&amp;" Corp",$N110,$O$98)</f>
        <v>250.71899999999999</v>
      </c>
      <c r="Q110" s="18">
        <f t="shared" ref="Q110" ca="1" si="58">IFERROR(P110-O110,"-")</f>
        <v>-5.6120000000000232</v>
      </c>
      <c r="R110" s="18">
        <f t="shared" ref="R110" ca="1" si="59">IFERROR(Q110/H110,"-")</f>
        <v>-2.0243687374749584</v>
      </c>
      <c r="S110" s="18">
        <f t="shared" ref="S110" ca="1" si="60">IFERROR(M110-R110,"-")</f>
        <v>13.830523251852732</v>
      </c>
      <c r="T110" s="18" cm="1">
        <f t="array" aca="1" ref="T110" ca="1">_xll.BDH(D110&amp;" Corp",$N110,$T$98)</f>
        <v>173.67099999999999</v>
      </c>
      <c r="U110" s="18" cm="1">
        <f t="array" aca="1" ref="U110" ca="1">_xll.BDH(E110&amp;" Corp",$N110,$T$98)</f>
        <v>224.93899999999999</v>
      </c>
      <c r="V110" s="18">
        <f t="shared" ref="V110" ca="1" si="61">IFERROR(U110-T110,"-")</f>
        <v>51.268000000000001</v>
      </c>
      <c r="W110" s="18">
        <f t="shared" ref="W110" ca="1" si="62">IFERROR(V110/H110,"-")</f>
        <v>18.493466933867737</v>
      </c>
      <c r="X110" s="18">
        <f t="shared" ref="X110" ca="1" si="63">IFERROR(M110-W110,"-")</f>
        <v>-6.6873124194899631</v>
      </c>
    </row>
    <row r="112" spans="1:24" x14ac:dyDescent="0.25">
      <c r="A112" s="5" t="s">
        <v>165</v>
      </c>
      <c r="B112" s="11" t="str">
        <f>C94</f>
        <v>TOTAL 2.708 PERP nc-23</v>
      </c>
      <c r="C112" s="11" t="str">
        <f>C97</f>
        <v>TOTAL 3.369 PERP nc-26</v>
      </c>
      <c r="D112" s="22" t="str">
        <f>_xlfn.XLOOKUP(B112,bonds[unique lookup],bonds[ID_ISIN])</f>
        <v>XS1501167164</v>
      </c>
      <c r="E112" s="22" t="str">
        <f>_xlfn.XLOOKUP(C112,bonds[unique lookup],bonds[ID_ISIN])</f>
        <v>XS1501166869</v>
      </c>
      <c r="F112" s="8">
        <f>_xlfn.XLOOKUP(B112,bonds[unique lookup],bonds[nxt_call_dt])</f>
        <v>45051</v>
      </c>
      <c r="G112" s="8">
        <f>_xlfn.XLOOKUP(C112,bonds[unique lookup],bonds[nxt_call_dt])</f>
        <v>46301</v>
      </c>
      <c r="H112" s="17">
        <f t="shared" ref="H112" si="64">YEARFRAC(F112,G112)</f>
        <v>3.4194444444444443</v>
      </c>
      <c r="I112" s="12" t="s">
        <v>35</v>
      </c>
      <c r="J112" s="18" cm="1">
        <f t="array" ref="J112">_xll.BDP(D112&amp;" Corp",$I112)</f>
        <v>212.14032647646678</v>
      </c>
      <c r="K112" s="18" cm="1">
        <f t="array" ref="K112">_xll.BDP(E112&amp;" Corp",$I112)</f>
        <v>236.96130881618359</v>
      </c>
      <c r="L112" s="18">
        <f t="shared" ref="L112" si="65">K112-J112</f>
        <v>24.820982339716807</v>
      </c>
      <c r="M112" s="18">
        <f t="shared" ref="M112" si="66">L112/H112</f>
        <v>7.258776313808327</v>
      </c>
      <c r="N112" s="12" t="s">
        <v>36</v>
      </c>
      <c r="O112" s="18" cm="1">
        <f t="array" aca="1" ref="O112" ca="1">_xll.BDH(D112&amp;" Corp",$N112,$O$98)</f>
        <v>245.17599999999999</v>
      </c>
      <c r="P112" s="18" cm="1">
        <f t="array" aca="1" ref="P112" ca="1">_xll.BDH(E112&amp;" Corp",$N112,$O$98)</f>
        <v>255.417</v>
      </c>
      <c r="Q112" s="18">
        <f t="shared" ref="Q112" ca="1" si="67">IFERROR(P112-O112,"-")</f>
        <v>10.241000000000014</v>
      </c>
      <c r="R112" s="18">
        <f t="shared" ref="R112" ca="1" si="68">IFERROR(Q112/H112,"-")</f>
        <v>2.9949309504467956</v>
      </c>
      <c r="S112" s="18">
        <f t="shared" ref="S112" ca="1" si="69">IFERROR(M112-R112,"-")</f>
        <v>4.263845363361531</v>
      </c>
      <c r="T112" s="18" cm="1">
        <f t="array" aca="1" ref="T112" ca="1">_xll.BDH(D112&amp;" Corp",$N112,$T$98)</f>
        <v>191.80099999999999</v>
      </c>
      <c r="U112" s="18" cm="1">
        <f t="array" aca="1" ref="U112" ca="1">_xll.BDH(E112&amp;" Corp",$N112,$T$98)</f>
        <v>224.398</v>
      </c>
      <c r="V112" s="18">
        <f t="shared" ref="V112" ca="1" si="70">IFERROR(U112-T112,"-")</f>
        <v>32.597000000000008</v>
      </c>
      <c r="W112" s="18">
        <f t="shared" ref="W112" ca="1" si="71">IFERROR(V112/H112,"-")</f>
        <v>9.5328350934199868</v>
      </c>
      <c r="X112" s="18">
        <f t="shared" ref="X112" ca="1" si="72">IFERROR(M112-W112,"-")</f>
        <v>-2.2740587796116598</v>
      </c>
    </row>
    <row r="119" spans="2:5" x14ac:dyDescent="0.25">
      <c r="B119" s="5" t="s">
        <v>2</v>
      </c>
      <c r="C119" s="11" t="s">
        <v>422</v>
      </c>
    </row>
    <row r="120" spans="2:5" ht="11" x14ac:dyDescent="0.3">
      <c r="C120" s="4" t="s">
        <v>146</v>
      </c>
      <c r="D120" s="4" t="s">
        <v>147</v>
      </c>
    </row>
    <row r="121" spans="2:5" x14ac:dyDescent="0.25">
      <c r="C121" s="5" t="str" cm="1">
        <f t="array" ref="C121:C126">_xlfn._xlws.FILTER(bonds[unique lookup],(bonds[ticker]=C119)*(bonds[crncy]="eur"))</f>
        <v>ENBW 3 5/8 04/02/76 nc-21</v>
      </c>
      <c r="D121" s="22" t="str" cm="1">
        <f t="array" ref="D121:D126">_xlfn.XLOOKUP(_xlfn.ANCHORARRAY(C121),bonds[unique lookup],bonds[ID_ISIN])</f>
        <v>XS1044811591</v>
      </c>
      <c r="E121" s="5" t="str" cm="1">
        <f t="array" ref="E121">_xll.BDP(D121&amp;" Corp","crncy")</f>
        <v>EUR</v>
      </c>
    </row>
    <row r="122" spans="2:5" x14ac:dyDescent="0.25">
      <c r="C122" s="5" t="str">
        <v>ENBW 3 5/8 04/02/76 nc-21</v>
      </c>
      <c r="D122" s="22" t="str">
        <v>XS1044811591</v>
      </c>
      <c r="E122" s="5" t="str" cm="1">
        <f t="array" ref="E122">_xll.BDP(D122&amp;" Corp","crncy")</f>
        <v>EUR</v>
      </c>
    </row>
    <row r="123" spans="2:5" x14ac:dyDescent="0.25">
      <c r="C123" s="5" t="str">
        <v>ENBW 3 3/8 04/05/77 nc-22</v>
      </c>
      <c r="D123" s="22" t="str">
        <v>XS1405770907</v>
      </c>
      <c r="E123" s="5" t="str" cm="1">
        <f t="array" ref="E123">_xll.BDP(D123&amp;" Corp","crncy")</f>
        <v>EUR</v>
      </c>
    </row>
    <row r="124" spans="2:5" x14ac:dyDescent="0.25">
      <c r="C124" s="5" t="str">
        <v>ENBW 1 1/8 11/05/79 nc-24</v>
      </c>
      <c r="D124" s="22" t="str">
        <v>XS2035564975</v>
      </c>
      <c r="E124" s="5" t="str" cm="1">
        <f t="array" ref="E124">_xll.BDP(D124&amp;" Corp","crncy")</f>
        <v>EUR</v>
      </c>
    </row>
    <row r="125" spans="2:5" x14ac:dyDescent="0.25">
      <c r="C125" s="5" t="str">
        <v>ENBW 1 7/8 06/29/80 nc-26</v>
      </c>
      <c r="D125" s="22" t="str">
        <v>XS2196328608</v>
      </c>
      <c r="E125" s="5" t="str" cm="1">
        <f t="array" ref="E125">_xll.BDP(D125&amp;" Corp","crncy")</f>
        <v>EUR</v>
      </c>
    </row>
    <row r="126" spans="2:5" x14ac:dyDescent="0.25">
      <c r="C126" s="5" t="str">
        <v>ENBW 1 5/8 08/05/79 nc-27</v>
      </c>
      <c r="D126" s="22" t="str">
        <v>XS2035564629</v>
      </c>
      <c r="E126" s="5" t="str" cm="1">
        <f t="array" ref="E126">_xll.BDP(D126&amp;" Corp","crncy")</f>
        <v>EUR</v>
      </c>
    </row>
    <row r="127" spans="2:5" x14ac:dyDescent="0.25">
      <c r="D127" s="22"/>
    </row>
    <row r="130" spans="1:24" x14ac:dyDescent="0.25">
      <c r="A130" s="5" t="s">
        <v>161</v>
      </c>
      <c r="B130" s="11" t="str">
        <f>C121</f>
        <v>ENBW 3 5/8 04/02/76 nc-21</v>
      </c>
      <c r="C130" s="11" t="str">
        <f>C122</f>
        <v>ENBW 3 5/8 04/02/76 nc-21</v>
      </c>
      <c r="D130" s="22" t="str">
        <f>_xlfn.XLOOKUP(B130,bonds[unique lookup],bonds[ID_ISIN])</f>
        <v>XS1044811591</v>
      </c>
      <c r="E130" s="22" t="str">
        <f>_xlfn.XLOOKUP(C130,bonds[unique lookup],bonds[ID_ISIN])</f>
        <v>XS1044811591</v>
      </c>
      <c r="F130" s="25">
        <f>_xlfn.XLOOKUP(B130,bonds[unique lookup],bonds[nxt_call_dt])</f>
        <v>44288</v>
      </c>
      <c r="G130" s="25">
        <f>_xlfn.XLOOKUP(C130,bonds[unique lookup],bonds[nxt_call_dt])</f>
        <v>44288</v>
      </c>
      <c r="H130" s="17">
        <f t="shared" ref="H130" si="73">YEARFRAC(F130,G130)</f>
        <v>0</v>
      </c>
      <c r="I130" s="12" t="s">
        <v>35</v>
      </c>
      <c r="J130" s="18" cm="1">
        <f t="array" ref="J130">_xll.BDP(D130&amp;" Corp",$I130)</f>
        <v>203.08357790781349</v>
      </c>
      <c r="K130" s="18" cm="1">
        <f t="array" ref="K130">_xll.BDP(E130&amp;" Corp",$I130)</f>
        <v>203.08357790781349</v>
      </c>
      <c r="L130" s="18">
        <f t="shared" ref="L130" si="74">K130-J130</f>
        <v>0</v>
      </c>
      <c r="M130" s="18" t="str">
        <f>IFERROR(L130/H130,"-")</f>
        <v>-</v>
      </c>
      <c r="N130" s="12" t="s">
        <v>36</v>
      </c>
      <c r="O130" s="18" cm="1">
        <f t="array" aca="1" ref="O130" ca="1">_xll.BDH(D130&amp;" Corp",$N130,$O$98)</f>
        <v>185.33099999999999</v>
      </c>
      <c r="P130" s="18" cm="1">
        <f t="array" aca="1" ref="P130" ca="1">_xll.BDH(E130&amp;" Corp",$N130,$O$98)</f>
        <v>185.33099999999999</v>
      </c>
      <c r="Q130" s="18">
        <f t="shared" ref="Q130" ca="1" si="75">IFERROR(P130-O130,"-")</f>
        <v>0</v>
      </c>
      <c r="R130" s="18" t="str">
        <f t="shared" ref="R130" ca="1" si="76">IFERROR(Q130/H130,"-")</f>
        <v>-</v>
      </c>
      <c r="S130" s="18" t="str">
        <f t="shared" ref="S130" ca="1" si="77">IFERROR(M130-R130,"-")</f>
        <v>-</v>
      </c>
      <c r="T130" s="18" cm="1">
        <f t="array" aca="1" ref="T130" ca="1">_xll.BDH(D130&amp;" Corp",$N130,$T$98)</f>
        <v>138.15299999999999</v>
      </c>
      <c r="U130" s="18" cm="1">
        <f t="array" aca="1" ref="U130" ca="1">_xll.BDH(E130&amp;" Corp",$N130,$T$98)</f>
        <v>138.15299999999999</v>
      </c>
      <c r="V130" s="18">
        <f t="shared" ref="V130" ca="1" si="78">IFERROR(U130-T130,"-")</f>
        <v>0</v>
      </c>
      <c r="W130" s="18" t="str">
        <f t="shared" ref="W130" ca="1" si="79">IFERROR(V130/H130,"-")</f>
        <v>-</v>
      </c>
      <c r="X130" s="18" t="str">
        <f t="shared" ref="X130" ca="1" si="80">IFERROR(M130-W130,"-")</f>
        <v>-</v>
      </c>
    </row>
    <row r="131" spans="1:24" x14ac:dyDescent="0.25">
      <c r="A131" s="5" t="s">
        <v>161</v>
      </c>
      <c r="B131" s="11" t="str">
        <f t="shared" ref="B131:B134" si="81">C122</f>
        <v>ENBW 3 5/8 04/02/76 nc-21</v>
      </c>
      <c r="C131" s="11" t="str">
        <f t="shared" ref="C131:C134" si="82">C123</f>
        <v>ENBW 3 3/8 04/05/77 nc-22</v>
      </c>
      <c r="D131" s="22" t="str">
        <f>_xlfn.XLOOKUP(B131,bonds[unique lookup],bonds[ID_ISIN])</f>
        <v>XS1044811591</v>
      </c>
      <c r="E131" s="22" t="str">
        <f>_xlfn.XLOOKUP(C131,bonds[unique lookup],bonds[ID_ISIN])</f>
        <v>XS1405770907</v>
      </c>
      <c r="F131" s="25">
        <f>_xlfn.XLOOKUP(B131,bonds[unique lookup],bonds[nxt_call_dt])</f>
        <v>44288</v>
      </c>
      <c r="G131" s="25">
        <f>_xlfn.XLOOKUP(C131,bonds[unique lookup],bonds[nxt_call_dt])</f>
        <v>44566</v>
      </c>
      <c r="H131" s="17">
        <f t="shared" ref="H131:H134" si="83">YEARFRAC(F131,G131)</f>
        <v>0.7583333333333333</v>
      </c>
      <c r="I131" s="12" t="s">
        <v>35</v>
      </c>
      <c r="J131" s="18" cm="1">
        <f t="array" ref="J131">_xll.BDP(D131&amp;" Corp",$I131)</f>
        <v>203.08357790781349</v>
      </c>
      <c r="K131" s="18" cm="1">
        <f t="array" ref="K131">_xll.BDP(E131&amp;" Corp",$I131)</f>
        <v>192.24716281592166</v>
      </c>
      <c r="L131" s="18">
        <f t="shared" ref="L131:L134" si="84">K131-J131</f>
        <v>-10.836415091891837</v>
      </c>
      <c r="M131" s="18">
        <f t="shared" ref="M131:M134" si="85">IFERROR(L131/H131,"-")</f>
        <v>-14.289778143154072</v>
      </c>
      <c r="N131" s="12" t="s">
        <v>36</v>
      </c>
      <c r="O131" s="18" cm="1">
        <f t="array" aca="1" ref="O131" ca="1">_xll.BDH(D131&amp;" Corp",$N131,$O$98)</f>
        <v>185.33099999999999</v>
      </c>
      <c r="P131" s="18" cm="1">
        <f t="array" aca="1" ref="P131" ca="1">_xll.BDH(E131&amp;" Corp",$N131,$O$98)</f>
        <v>168.678</v>
      </c>
      <c r="Q131" s="18">
        <f t="shared" ref="Q131:Q134" ca="1" si="86">IFERROR(P131-O131,"-")</f>
        <v>-16.652999999999992</v>
      </c>
      <c r="R131" s="18">
        <f t="shared" ref="R131:R134" ca="1" si="87">IFERROR(Q131/H131,"-")</f>
        <v>-21.95999999999999</v>
      </c>
      <c r="S131" s="18">
        <f t="shared" ref="S131:S134" ca="1" si="88">IFERROR(M131-R131,"-")</f>
        <v>7.6702218568459184</v>
      </c>
      <c r="T131" s="18" cm="1">
        <f t="array" aca="1" ref="T131" ca="1">_xll.BDH(D131&amp;" Corp",$N131,$T$98)</f>
        <v>138.15299999999999</v>
      </c>
      <c r="U131" s="18" cm="1">
        <f t="array" aca="1" ref="U131" ca="1">_xll.BDH(E131&amp;" Corp",$N131,$T$98)</f>
        <v>164.7</v>
      </c>
      <c r="V131" s="18">
        <f t="shared" ref="V131:V134" ca="1" si="89">IFERROR(U131-T131,"-")</f>
        <v>26.546999999999997</v>
      </c>
      <c r="W131" s="18">
        <f t="shared" ref="W131:W134" ca="1" si="90">IFERROR(V131/H131,"-")</f>
        <v>35.007032967032963</v>
      </c>
      <c r="X131" s="18">
        <f t="shared" ref="X131:X134" ca="1" si="91">IFERROR(M131-W131,"-")</f>
        <v>-49.296811110187036</v>
      </c>
    </row>
    <row r="132" spans="1:24" x14ac:dyDescent="0.25">
      <c r="A132" s="5" t="s">
        <v>161</v>
      </c>
      <c r="B132" s="11" t="str">
        <f t="shared" si="81"/>
        <v>ENBW 3 3/8 04/05/77 nc-22</v>
      </c>
      <c r="C132" s="11" t="str">
        <f t="shared" si="82"/>
        <v>ENBW 1 1/8 11/05/79 nc-24</v>
      </c>
      <c r="D132" s="22" t="str">
        <f>_xlfn.XLOOKUP(B132,bonds[unique lookup],bonds[ID_ISIN])</f>
        <v>XS1405770907</v>
      </c>
      <c r="E132" s="22" t="str">
        <f>_xlfn.XLOOKUP(C132,bonds[unique lookup],bonds[ID_ISIN])</f>
        <v>XS2035564975</v>
      </c>
      <c r="F132" s="25">
        <f>_xlfn.XLOOKUP(B132,bonds[unique lookup],bonds[nxt_call_dt])</f>
        <v>44566</v>
      </c>
      <c r="G132" s="25">
        <f>_xlfn.XLOOKUP(C132,bonds[unique lookup],bonds[nxt_call_dt])</f>
        <v>45509</v>
      </c>
      <c r="H132" s="17">
        <f t="shared" si="83"/>
        <v>2.5833333333333335</v>
      </c>
      <c r="I132" s="12" t="s">
        <v>35</v>
      </c>
      <c r="J132" s="18" cm="1">
        <f t="array" ref="J132">_xll.BDP(D132&amp;" Corp",$I132)</f>
        <v>192.24716281592166</v>
      </c>
      <c r="K132" s="18" cm="1">
        <f t="array" ref="K132">_xll.BDP(E132&amp;" Corp",$I132)</f>
        <v>210.05202425278085</v>
      </c>
      <c r="L132" s="18">
        <f t="shared" si="84"/>
        <v>17.804861436859198</v>
      </c>
      <c r="M132" s="18">
        <f t="shared" si="85"/>
        <v>6.8922044271713023</v>
      </c>
      <c r="N132" s="12" t="s">
        <v>36</v>
      </c>
      <c r="O132" s="18" cm="1">
        <f t="array" aca="1" ref="O132" ca="1">_xll.BDH(D132&amp;" Corp",$N132,$O$98)</f>
        <v>168.678</v>
      </c>
      <c r="P132" s="18" cm="1">
        <f t="array" aca="1" ref="P132" ca="1">_xll.BDH(E132&amp;" Corp",$N132,$O$98)</f>
        <v>209.67099999999999</v>
      </c>
      <c r="Q132" s="18">
        <f t="shared" ca="1" si="86"/>
        <v>40.992999999999995</v>
      </c>
      <c r="R132" s="18">
        <f t="shared" ca="1" si="87"/>
        <v>15.868258064516127</v>
      </c>
      <c r="S132" s="18">
        <f t="shared" ca="1" si="88"/>
        <v>-8.9760536373448243</v>
      </c>
      <c r="T132" s="18" cm="1">
        <f t="array" aca="1" ref="T132" ca="1">_xll.BDH(D132&amp;" Corp",$N132,$T$98)</f>
        <v>164.7</v>
      </c>
      <c r="U132" s="18" cm="1">
        <f t="array" aca="1" ref="U132" ca="1">_xll.BDH(E132&amp;" Corp",$N132,$T$98)</f>
        <v>213.63</v>
      </c>
      <c r="V132" s="18">
        <f t="shared" ca="1" si="89"/>
        <v>48.930000000000007</v>
      </c>
      <c r="W132" s="18">
        <f t="shared" ca="1" si="90"/>
        <v>18.940645161290323</v>
      </c>
      <c r="X132" s="18">
        <f t="shared" ca="1" si="91"/>
        <v>-12.048440734119021</v>
      </c>
    </row>
    <row r="133" spans="1:24" x14ac:dyDescent="0.25">
      <c r="A133" s="5" t="s">
        <v>161</v>
      </c>
      <c r="B133" s="11" t="str">
        <f t="shared" si="81"/>
        <v>ENBW 1 1/8 11/05/79 nc-24</v>
      </c>
      <c r="C133" s="11" t="str">
        <f t="shared" si="82"/>
        <v>ENBW 1 7/8 06/29/80 nc-26</v>
      </c>
      <c r="D133" s="22" t="str">
        <f>_xlfn.XLOOKUP(B133,bonds[unique lookup],bonds[ID_ISIN])</f>
        <v>XS2035564975</v>
      </c>
      <c r="E133" s="22" t="str">
        <f>_xlfn.XLOOKUP(C133,bonds[unique lookup],bonds[ID_ISIN])</f>
        <v>XS2196328608</v>
      </c>
      <c r="F133" s="25">
        <f>_xlfn.XLOOKUP(B133,bonds[unique lookup],bonds[nxt_call_dt])</f>
        <v>45509</v>
      </c>
      <c r="G133" s="25">
        <f>_xlfn.XLOOKUP(C133,bonds[unique lookup],bonds[nxt_call_dt])</f>
        <v>46111</v>
      </c>
      <c r="H133" s="17">
        <f t="shared" si="83"/>
        <v>1.6527777777777777</v>
      </c>
      <c r="I133" s="12" t="s">
        <v>35</v>
      </c>
      <c r="J133" s="18" cm="1">
        <f t="array" ref="J133">_xll.BDP(D133&amp;" Corp",$I133)</f>
        <v>210.05202425278085</v>
      </c>
      <c r="K133" s="18" cm="1">
        <f t="array" ref="K133">_xll.BDP(E133&amp;" Corp",$I133)</f>
        <v>234.0163532948288</v>
      </c>
      <c r="L133" s="18">
        <f t="shared" si="84"/>
        <v>23.96432904204795</v>
      </c>
      <c r="M133" s="18">
        <f t="shared" si="85"/>
        <v>14.499425975020609</v>
      </c>
      <c r="N133" s="12" t="s">
        <v>36</v>
      </c>
      <c r="O133" s="18" cm="1">
        <f t="array" aca="1" ref="O133" ca="1">_xll.BDH(D133&amp;" Corp",$N133,$O$98)</f>
        <v>209.67099999999999</v>
      </c>
      <c r="P133" s="18" cm="1">
        <f t="array" aca="1" ref="P133" ca="1">_xll.BDH(E133&amp;" Corp",$N133,$O$98)</f>
        <v>232.82499999999999</v>
      </c>
      <c r="Q133" s="18">
        <f t="shared" ca="1" si="86"/>
        <v>23.153999999999996</v>
      </c>
      <c r="R133" s="18">
        <f t="shared" ca="1" si="87"/>
        <v>14.009142857142855</v>
      </c>
      <c r="S133" s="18">
        <f t="shared" ca="1" si="88"/>
        <v>0.49028311787775358</v>
      </c>
      <c r="T133" s="18" cm="1">
        <f t="array" aca="1" ref="T133" ca="1">_xll.BDH(D133&amp;" Corp",$N133,$T$98)</f>
        <v>213.63</v>
      </c>
      <c r="U133" s="18" t="str" cm="1">
        <f t="array" aca="1" ref="U133" ca="1">_xll.BDH(E133&amp;" Corp",$N133,$T$98)</f>
        <v>#N/A N/A</v>
      </c>
      <c r="V133" s="18" t="str">
        <f t="shared" ca="1" si="89"/>
        <v>-</v>
      </c>
      <c r="W133" s="18" t="str">
        <f t="shared" ca="1" si="90"/>
        <v>-</v>
      </c>
      <c r="X133" s="18" t="str">
        <f t="shared" ca="1" si="91"/>
        <v>-</v>
      </c>
    </row>
    <row r="134" spans="1:24" x14ac:dyDescent="0.25">
      <c r="A134" s="5" t="s">
        <v>161</v>
      </c>
      <c r="B134" s="11" t="str">
        <f t="shared" si="81"/>
        <v>ENBW 1 7/8 06/29/80 nc-26</v>
      </c>
      <c r="C134" s="11" t="str">
        <f t="shared" si="82"/>
        <v>ENBW 1 5/8 08/05/79 nc-27</v>
      </c>
      <c r="D134" s="22" t="str">
        <f>_xlfn.XLOOKUP(B134,bonds[unique lookup],bonds[ID_ISIN])</f>
        <v>XS2196328608</v>
      </c>
      <c r="E134" s="22" t="str">
        <f>_xlfn.XLOOKUP(C134,bonds[unique lookup],bonds[ID_ISIN])</f>
        <v>XS2035564629</v>
      </c>
      <c r="F134" s="25">
        <f>_xlfn.XLOOKUP(B134,bonds[unique lookup],bonds[nxt_call_dt])</f>
        <v>46111</v>
      </c>
      <c r="G134" s="25">
        <f>_xlfn.XLOOKUP(C134,bonds[unique lookup],bonds[nxt_call_dt])</f>
        <v>46512</v>
      </c>
      <c r="H134" s="17">
        <f t="shared" si="83"/>
        <v>1.0972222222222223</v>
      </c>
      <c r="I134" s="12" t="s">
        <v>35</v>
      </c>
      <c r="J134" s="18" cm="1">
        <f t="array" ref="J134">_xll.BDP(D134&amp;" Corp",$I134)</f>
        <v>234.0163532948288</v>
      </c>
      <c r="K134" s="18" cm="1">
        <f t="array" ref="K134">_xll.BDP(E134&amp;" Corp",$I134)</f>
        <v>232.76921308114501</v>
      </c>
      <c r="L134" s="18">
        <f t="shared" si="84"/>
        <v>-1.2471402136837924</v>
      </c>
      <c r="M134" s="18">
        <f t="shared" si="85"/>
        <v>-1.1366341188004183</v>
      </c>
      <c r="N134" s="12" t="s">
        <v>36</v>
      </c>
      <c r="O134" s="18" cm="1">
        <f t="array" aca="1" ref="O134" ca="1">_xll.BDH(D134&amp;" Corp",$N134,$O$98)</f>
        <v>232.82499999999999</v>
      </c>
      <c r="P134" s="18" cm="1">
        <f t="array" aca="1" ref="P134" ca="1">_xll.BDH(E134&amp;" Corp",$N134,$O$98)</f>
        <v>230.041</v>
      </c>
      <c r="Q134" s="18">
        <f t="shared" ca="1" si="86"/>
        <v>-2.7839999999999918</v>
      </c>
      <c r="R134" s="18">
        <f t="shared" ca="1" si="87"/>
        <v>-2.5373164556961947</v>
      </c>
      <c r="S134" s="18">
        <f t="shared" ca="1" si="88"/>
        <v>1.4006823368957764</v>
      </c>
      <c r="T134" s="18" t="str" cm="1">
        <f t="array" aca="1" ref="T134" ca="1">_xll.BDH(D134&amp;" Corp",$N134,$T$98)</f>
        <v>#N/A N/A</v>
      </c>
      <c r="U134" s="18" cm="1">
        <f t="array" aca="1" ref="U134" ca="1">_xll.BDH(E134&amp;" Corp",$N134,$T$98)</f>
        <v>236.196</v>
      </c>
      <c r="V134" s="18" t="str">
        <f t="shared" ca="1" si="89"/>
        <v>-</v>
      </c>
      <c r="W134" s="18" t="str">
        <f t="shared" ca="1" si="90"/>
        <v>-</v>
      </c>
      <c r="X134" s="18" t="str">
        <f t="shared" ca="1" si="91"/>
        <v>-</v>
      </c>
    </row>
    <row r="135" spans="1:24" x14ac:dyDescent="0.25">
      <c r="Q135" s="18"/>
      <c r="R135" s="18"/>
      <c r="S135" s="18"/>
      <c r="T135" s="18"/>
      <c r="U135" s="18"/>
      <c r="V135" s="18"/>
      <c r="W135" s="18"/>
      <c r="X135" s="18"/>
    </row>
    <row r="136" spans="1:24" x14ac:dyDescent="0.25">
      <c r="G136" s="5" t="s">
        <v>162</v>
      </c>
      <c r="H136" s="17">
        <f>AVERAGE(H130:H134)</f>
        <v>1.2183333333333333</v>
      </c>
      <c r="M136" s="18">
        <f>AVERAGE(M130:M134)</f>
        <v>1.4913045350593552</v>
      </c>
      <c r="R136" s="18">
        <f ca="1">AVERAGE(R130:R134)</f>
        <v>1.3450211164906993</v>
      </c>
      <c r="S136" s="18">
        <f ca="1">AVERAGE(S130:S134)</f>
        <v>0.14628341856865601</v>
      </c>
      <c r="W136" s="18">
        <f ca="1">AVERAGE(W130:W134)</f>
        <v>26.973839064161645</v>
      </c>
      <c r="X136" s="18">
        <f ca="1">AVERAGE(X130:X134)</f>
        <v>-30.672625922153028</v>
      </c>
    </row>
    <row r="137" spans="1:24" x14ac:dyDescent="0.25">
      <c r="G137" s="5" t="s">
        <v>167</v>
      </c>
      <c r="H137" s="17">
        <f>_xlfn.STDEV.P(H130:H134)</f>
        <v>0.86747576192702025</v>
      </c>
      <c r="M137" s="18">
        <f>_xlfn.STDEV.P(M130:M134)</f>
        <v>10.657504106338086</v>
      </c>
      <c r="R137" s="18">
        <f ca="1">_xlfn.STDEV.P(R130:R134)</f>
        <v>15.243858969885549</v>
      </c>
      <c r="S137" s="18">
        <f ca="1">_xlfn.STDEV.P(S130:S134)</f>
        <v>5.9480781649223324</v>
      </c>
      <c r="W137" s="18">
        <f ca="1">_xlfn.STDEV.P(W130:W134)</f>
        <v>8.0331939028713162</v>
      </c>
      <c r="X137" s="18">
        <f ca="1">_xlfn.STDEV.P(X130:X134)</f>
        <v>18.624185188034009</v>
      </c>
    </row>
    <row r="139" spans="1:24" x14ac:dyDescent="0.25">
      <c r="A139" s="5" t="s">
        <v>164</v>
      </c>
      <c r="B139" s="11" t="str">
        <f>C122</f>
        <v>ENBW 3 5/8 04/02/76 nc-21</v>
      </c>
      <c r="C139" s="11" t="str">
        <f>C126</f>
        <v>ENBW 1 5/8 08/05/79 nc-27</v>
      </c>
      <c r="D139" s="22" t="str">
        <f>_xlfn.XLOOKUP(B139,bonds[unique lookup],bonds[ID_ISIN])</f>
        <v>XS1044811591</v>
      </c>
      <c r="E139" s="22" t="str">
        <f>_xlfn.XLOOKUP(C139,bonds[unique lookup],bonds[ID_ISIN])</f>
        <v>XS2035564629</v>
      </c>
      <c r="F139" s="25">
        <f>_xlfn.XLOOKUP(B139,bonds[unique lookup],bonds[nxt_call_dt])</f>
        <v>44288</v>
      </c>
      <c r="G139" s="25">
        <f>_xlfn.XLOOKUP(C139,bonds[unique lookup],bonds[nxt_call_dt])</f>
        <v>46512</v>
      </c>
      <c r="H139" s="17">
        <f t="shared" ref="H139" si="92">YEARFRAC(F139,G139)</f>
        <v>6.0916666666666668</v>
      </c>
      <c r="I139" s="12" t="s">
        <v>35</v>
      </c>
      <c r="J139" s="18" cm="1">
        <f t="array" ref="J139">_xll.BDP(D139&amp;" Corp",$I139)</f>
        <v>203.08357790781349</v>
      </c>
      <c r="K139" s="18" cm="1">
        <f t="array" ref="K139">_xll.BDP(E139&amp;" Corp",$I139)</f>
        <v>232.76921308114501</v>
      </c>
      <c r="L139" s="18">
        <f t="shared" ref="L139" si="93">K139-J139</f>
        <v>29.685635173331519</v>
      </c>
      <c r="M139" s="18">
        <f t="shared" ref="M139" si="94">L139/H139</f>
        <v>4.8731548848150235</v>
      </c>
      <c r="N139" s="12" t="s">
        <v>36</v>
      </c>
      <c r="O139" s="18" cm="1">
        <f t="array" aca="1" ref="O139" ca="1">_xll.BDH(D139&amp;" Corp",$N139,$O$98)</f>
        <v>185.33099999999999</v>
      </c>
      <c r="P139" s="18" cm="1">
        <f t="array" aca="1" ref="P139" ca="1">_xll.BDH(E139&amp;" Corp",$N139,$O$98)</f>
        <v>230.041</v>
      </c>
      <c r="Q139" s="18">
        <f t="shared" ref="Q139" ca="1" si="95">IFERROR(P139-O139,"-")</f>
        <v>44.710000000000008</v>
      </c>
      <c r="R139" s="18">
        <f t="shared" ref="R139" ca="1" si="96">IFERROR(Q139/H139,"-")</f>
        <v>7.3395348837209315</v>
      </c>
      <c r="S139" s="18">
        <f t="shared" ref="S139" ca="1" si="97">IFERROR(M139-R139,"-")</f>
        <v>-2.4663799989059081</v>
      </c>
      <c r="T139" s="18" cm="1">
        <f t="array" aca="1" ref="T139" ca="1">_xll.BDH(D139&amp;" Corp",$N139,$T$98)</f>
        <v>138.15299999999999</v>
      </c>
      <c r="U139" s="18" cm="1">
        <f t="array" aca="1" ref="U139" ca="1">_xll.BDH(E139&amp;" Corp",$N139,$T$98)</f>
        <v>236.196</v>
      </c>
      <c r="V139" s="18">
        <f t="shared" ref="V139" ca="1" si="98">IFERROR(U139-T139,"-")</f>
        <v>98.043000000000006</v>
      </c>
      <c r="W139" s="18">
        <f t="shared" ref="W139" ca="1" si="99">IFERROR(V139/H139,"-")</f>
        <v>16.094610123119015</v>
      </c>
      <c r="X139" s="18">
        <f t="shared" ref="X139" ca="1" si="100">IFERROR(M139-W139,"-")</f>
        <v>-11.221455238303992</v>
      </c>
    </row>
    <row r="141" spans="1:24" x14ac:dyDescent="0.25">
      <c r="A141" s="5" t="s">
        <v>165</v>
      </c>
      <c r="B141" s="11" t="str">
        <f>C124</f>
        <v>ENBW 1 1/8 11/05/79 nc-24</v>
      </c>
      <c r="C141" s="11" t="str">
        <f>C134</f>
        <v>ENBW 1 5/8 08/05/79 nc-27</v>
      </c>
      <c r="D141" s="22" t="str">
        <f>_xlfn.XLOOKUP(B141,bonds[unique lookup],bonds[ID_ISIN])</f>
        <v>XS2035564975</v>
      </c>
      <c r="E141" s="22" t="str">
        <f>_xlfn.XLOOKUP(C141,bonds[unique lookup],bonds[ID_ISIN])</f>
        <v>XS2035564629</v>
      </c>
      <c r="F141" s="25">
        <f>_xlfn.XLOOKUP(B141,bonds[unique lookup],bonds[nxt_call_dt])</f>
        <v>45509</v>
      </c>
      <c r="G141" s="25">
        <f>_xlfn.XLOOKUP(C141,bonds[unique lookup],bonds[nxt_call_dt])</f>
        <v>46512</v>
      </c>
      <c r="H141" s="17">
        <f t="shared" ref="H141" si="101">YEARFRAC(F141,G141)</f>
        <v>2.75</v>
      </c>
      <c r="I141" s="12" t="s">
        <v>35</v>
      </c>
      <c r="J141" s="18" cm="1">
        <f t="array" ref="J141">_xll.BDP(D141&amp;" Corp",$I141)</f>
        <v>210.05202425278085</v>
      </c>
      <c r="K141" s="18" cm="1">
        <f t="array" ref="K141">_xll.BDP(E141&amp;" Corp",$I141)</f>
        <v>232.76921308114501</v>
      </c>
      <c r="L141" s="18">
        <f t="shared" ref="L141" si="102">K141-J141</f>
        <v>22.717188828364158</v>
      </c>
      <c r="M141" s="18">
        <f t="shared" ref="M141" si="103">L141/H141</f>
        <v>8.2607959375869662</v>
      </c>
      <c r="N141" s="12" t="s">
        <v>36</v>
      </c>
      <c r="O141" s="18" cm="1">
        <f t="array" aca="1" ref="O141" ca="1">_xll.BDH(D141&amp;" Corp",$N141,$O$98)</f>
        <v>209.67099999999999</v>
      </c>
      <c r="P141" s="18" cm="1">
        <f t="array" aca="1" ref="P141" ca="1">_xll.BDH(E141&amp;" Corp",$N141,$O$98)</f>
        <v>230.041</v>
      </c>
      <c r="Q141" s="18">
        <f t="shared" ref="Q141" ca="1" si="104">IFERROR(P141-O141,"-")</f>
        <v>20.370000000000005</v>
      </c>
      <c r="R141" s="18">
        <f t="shared" ref="R141" ca="1" si="105">IFERROR(Q141/H141,"-")</f>
        <v>7.407272727272729</v>
      </c>
      <c r="S141" s="18">
        <f t="shared" ref="S141" ca="1" si="106">IFERROR(M141-R141,"-")</f>
        <v>0.85352321031423717</v>
      </c>
      <c r="T141" s="18" cm="1">
        <f t="array" aca="1" ref="T141" ca="1">_xll.BDH(D141&amp;" Corp",$N141,$T$98)</f>
        <v>213.63</v>
      </c>
      <c r="U141" s="18" cm="1">
        <f t="array" aca="1" ref="U141" ca="1">_xll.BDH(E141&amp;" Corp",$N141,$T$98)</f>
        <v>236.196</v>
      </c>
      <c r="V141" s="18">
        <f t="shared" ref="V141" ca="1" si="107">IFERROR(U141-T141,"-")</f>
        <v>22.566000000000003</v>
      </c>
      <c r="W141" s="18">
        <f t="shared" ref="W141" ca="1" si="108">IFERROR(V141/H141,"-")</f>
        <v>8.2058181818181826</v>
      </c>
      <c r="X141" s="18">
        <f t="shared" ref="X141" ca="1" si="109">IFERROR(M141-W141,"-")</f>
        <v>5.4977755768783609E-2</v>
      </c>
    </row>
    <row r="151" spans="2:5" x14ac:dyDescent="0.25">
      <c r="B151" s="5" t="s">
        <v>2</v>
      </c>
      <c r="C151" s="11" t="s">
        <v>424</v>
      </c>
    </row>
    <row r="152" spans="2:5" ht="11" x14ac:dyDescent="0.3">
      <c r="C152" s="4" t="s">
        <v>146</v>
      </c>
      <c r="D152" s="4" t="s">
        <v>147</v>
      </c>
    </row>
    <row r="153" spans="2:5" x14ac:dyDescent="0.25">
      <c r="C153" s="5" t="str" cm="1">
        <f t="array" ref="C153:C157">_xlfn._xlws.FILTER(bonds[unique lookup],(bonds[ticker]=C151)*(bonds[crncy]="eur"))</f>
        <v>ORAFP 4 PERP nc-21</v>
      </c>
      <c r="D153" s="22" t="str" cm="1">
        <f t="array" ref="D153:D157">_xlfn.XLOOKUP(_xlfn.ANCHORARRAY(C153),bonds[unique lookup],bonds[ID_ISIN])</f>
        <v>XS1115490523</v>
      </c>
      <c r="E153" s="5" t="str" cm="1">
        <f t="array" ref="E153">_xll.BDP(D153&amp;" Corp","crncy")</f>
        <v>EUR</v>
      </c>
    </row>
    <row r="154" spans="2:5" x14ac:dyDescent="0.25">
      <c r="C154" s="5" t="str">
        <v>ORAFP 5 1/4 PERP nc-24</v>
      </c>
      <c r="D154" s="22" t="str">
        <v>XS1028599287</v>
      </c>
      <c r="E154" s="5" t="str" cm="1">
        <f t="array" ref="E154">_xll.BDP(D154&amp;" Corp","crncy")</f>
        <v>EUR</v>
      </c>
    </row>
    <row r="155" spans="2:5" x14ac:dyDescent="0.25">
      <c r="C155" s="5" t="str">
        <v>ORAFP 2 3/8 PERP nc-25</v>
      </c>
      <c r="D155" s="22" t="str">
        <v>FR0013413887</v>
      </c>
      <c r="E155" s="5" t="str" cm="1">
        <f t="array" ref="E155">_xll.BDP(D155&amp;" Corp","crncy")</f>
        <v>EUR</v>
      </c>
    </row>
    <row r="156" spans="2:5" x14ac:dyDescent="0.25">
      <c r="C156" s="5" t="str">
        <v>ORAFP 5 PERP nc-26</v>
      </c>
      <c r="D156" s="22" t="str">
        <v>XS1115498260</v>
      </c>
      <c r="E156" s="5" t="str" cm="1">
        <f t="array" ref="E156">_xll.BDP(D156&amp;" Corp","crncy")</f>
        <v>EUR</v>
      </c>
    </row>
    <row r="157" spans="2:5" x14ac:dyDescent="0.25">
      <c r="C157" s="5" t="str">
        <v>ORAFP 1 3/4 PERP nc-26</v>
      </c>
      <c r="D157" s="22" t="str">
        <v>FR0013447877</v>
      </c>
      <c r="E157" s="5" t="str" cm="1">
        <f t="array" ref="E157">_xll.BDP(D157&amp;" Corp","crncy")</f>
        <v>EUR</v>
      </c>
    </row>
    <row r="158" spans="2:5" x14ac:dyDescent="0.25">
      <c r="D158" s="22"/>
    </row>
    <row r="159" spans="2:5" x14ac:dyDescent="0.25">
      <c r="D159" s="22"/>
    </row>
    <row r="162" spans="1:24" x14ac:dyDescent="0.25">
      <c r="A162" s="5" t="s">
        <v>161</v>
      </c>
      <c r="B162" s="11" t="str">
        <f>C153</f>
        <v>ORAFP 4 PERP nc-21</v>
      </c>
      <c r="C162" s="11" t="str">
        <f>C154</f>
        <v>ORAFP 5 1/4 PERP nc-24</v>
      </c>
      <c r="D162" s="22" t="str">
        <f>_xlfn.XLOOKUP(B162,bonds[unique lookup],bonds[ID_ISIN])</f>
        <v>XS1115490523</v>
      </c>
      <c r="E162" s="22" t="str">
        <f>_xlfn.XLOOKUP(C162,bonds[unique lookup],bonds[ID_ISIN])</f>
        <v>XS1028599287</v>
      </c>
      <c r="F162" s="25">
        <f>_xlfn.XLOOKUP(B162,bonds[unique lookup],bonds[nxt_call_dt])</f>
        <v>44470</v>
      </c>
      <c r="G162" s="25">
        <f>_xlfn.XLOOKUP(C162,bonds[unique lookup],bonds[nxt_call_dt])</f>
        <v>45329</v>
      </c>
      <c r="H162" s="17">
        <f t="shared" ref="H162:H165" si="110">YEARFRAC(F162,G162)</f>
        <v>2.35</v>
      </c>
      <c r="I162" s="12" t="s">
        <v>35</v>
      </c>
      <c r="J162" s="18" cm="1">
        <f t="array" ref="J162">_xll.BDP(D162&amp;" Corp",$I162)</f>
        <v>159.49756429971029</v>
      </c>
      <c r="K162" s="18" cm="1">
        <f t="array" ref="K162">_xll.BDP(E162&amp;" Corp",$I162)</f>
        <v>213.48904851858163</v>
      </c>
      <c r="L162" s="18">
        <f t="shared" ref="L162:L165" si="111">K162-J162</f>
        <v>53.991484218871335</v>
      </c>
      <c r="M162" s="18">
        <f>IFERROR(L162/H162,"-")</f>
        <v>22.975099667604823</v>
      </c>
      <c r="N162" s="12" t="s">
        <v>36</v>
      </c>
      <c r="O162" s="18" cm="1">
        <f t="array" aca="1" ref="O162" ca="1">_xll.BDH(D162&amp;" Corp",$N162,$O$98)</f>
        <v>153.54900000000001</v>
      </c>
      <c r="P162" s="18" cm="1">
        <f t="array" aca="1" ref="P162" ca="1">_xll.BDH(E162&amp;" Corp",$N162,$O$98)</f>
        <v>233.15700000000001</v>
      </c>
      <c r="Q162" s="18">
        <f t="shared" ref="Q162:Q165" ca="1" si="112">IFERROR(P162-O162,"-")</f>
        <v>79.608000000000004</v>
      </c>
      <c r="R162" s="18">
        <f t="shared" ref="R162:R165" ca="1" si="113">IFERROR(Q162/H162,"-")</f>
        <v>33.875744680851064</v>
      </c>
      <c r="S162" s="18">
        <f t="shared" ref="S162:S165" ca="1" si="114">IFERROR(M162-R162,"-")</f>
        <v>-10.90064501324624</v>
      </c>
      <c r="T162" s="18" cm="1">
        <f t="array" aca="1" ref="T162" ca="1">_xll.BDH(D162&amp;" Corp",$N162,$T$98)</f>
        <v>140.72999999999999</v>
      </c>
      <c r="U162" s="18" cm="1">
        <f t="array" aca="1" ref="U162" ca="1">_xll.BDH(E162&amp;" Corp",$N162,$T$98)</f>
        <v>216.00200000000001</v>
      </c>
      <c r="V162" s="18">
        <f t="shared" ref="V162:V165" ca="1" si="115">IFERROR(U162-T162,"-")</f>
        <v>75.27200000000002</v>
      </c>
      <c r="W162" s="18">
        <f t="shared" ref="W162:W165" ca="1" si="116">IFERROR(V162/H162,"-")</f>
        <v>32.030638297872351</v>
      </c>
      <c r="X162" s="18">
        <f t="shared" ref="X162:X165" ca="1" si="117">IFERROR(M162-W162,"-")</f>
        <v>-9.0555386302675274</v>
      </c>
    </row>
    <row r="163" spans="1:24" x14ac:dyDescent="0.25">
      <c r="A163" s="5" t="s">
        <v>161</v>
      </c>
      <c r="B163" s="11" t="str">
        <f t="shared" ref="B163:B165" si="118">C154</f>
        <v>ORAFP 5 1/4 PERP nc-24</v>
      </c>
      <c r="C163" s="11" t="str">
        <f t="shared" ref="C163:C165" si="119">C155</f>
        <v>ORAFP 2 3/8 PERP nc-25</v>
      </c>
      <c r="D163" s="22" t="str">
        <f>_xlfn.XLOOKUP(B163,bonds[unique lookup],bonds[ID_ISIN])</f>
        <v>XS1028599287</v>
      </c>
      <c r="E163" s="22" t="str">
        <f>_xlfn.XLOOKUP(C163,bonds[unique lookup],bonds[ID_ISIN])</f>
        <v>FR0013413887</v>
      </c>
      <c r="F163" s="25">
        <f>_xlfn.XLOOKUP(B163,bonds[unique lookup],bonds[nxt_call_dt])</f>
        <v>45329</v>
      </c>
      <c r="G163" s="25">
        <f>_xlfn.XLOOKUP(C163,bonds[unique lookup],bonds[nxt_call_dt])</f>
        <v>45672</v>
      </c>
      <c r="H163" s="17">
        <f t="shared" si="110"/>
        <v>0.93888888888888888</v>
      </c>
      <c r="I163" s="12" t="s">
        <v>35</v>
      </c>
      <c r="J163" s="18" cm="1">
        <f t="array" ref="J163">_xll.BDP(D163&amp;" Corp",$I163)</f>
        <v>213.48904851858163</v>
      </c>
      <c r="K163" s="18" cm="1">
        <f t="array" ref="K163">_xll.BDP(E163&amp;" Corp",$I163)</f>
        <v>234.7629917450258</v>
      </c>
      <c r="L163" s="18">
        <f t="shared" si="111"/>
        <v>21.273943226444175</v>
      </c>
      <c r="M163" s="18">
        <f t="shared" ref="M163:M165" si="120">IFERROR(L163/H163,"-")</f>
        <v>22.658637755976045</v>
      </c>
      <c r="N163" s="12" t="s">
        <v>36</v>
      </c>
      <c r="O163" s="18" cm="1">
        <f t="array" aca="1" ref="O163" ca="1">_xll.BDH(D163&amp;" Corp",$N163,$O$98)</f>
        <v>233.15700000000001</v>
      </c>
      <c r="P163" s="18" cm="1">
        <f t="array" aca="1" ref="P163" ca="1">_xll.BDH(E163&amp;" Corp",$N163,$O$98)</f>
        <v>242.67099999999999</v>
      </c>
      <c r="Q163" s="18">
        <f t="shared" ca="1" si="112"/>
        <v>9.5139999999999816</v>
      </c>
      <c r="R163" s="18">
        <f t="shared" ca="1" si="113"/>
        <v>10.133254437869804</v>
      </c>
      <c r="S163" s="18">
        <f t="shared" ca="1" si="114"/>
        <v>12.525383318106242</v>
      </c>
      <c r="T163" s="18" cm="1">
        <f t="array" aca="1" ref="T163" ca="1">_xll.BDH(D163&amp;" Corp",$N163,$T$98)</f>
        <v>216.00200000000001</v>
      </c>
      <c r="U163" s="18" cm="1">
        <f t="array" aca="1" ref="U163" ca="1">_xll.BDH(E163&amp;" Corp",$N163,$T$98)</f>
        <v>227.583</v>
      </c>
      <c r="V163" s="18">
        <f t="shared" ca="1" si="115"/>
        <v>11.580999999999989</v>
      </c>
      <c r="W163" s="18">
        <f t="shared" ca="1" si="116"/>
        <v>12.334792899408273</v>
      </c>
      <c r="X163" s="18">
        <f t="shared" ca="1" si="117"/>
        <v>10.323844856567773</v>
      </c>
    </row>
    <row r="164" spans="1:24" x14ac:dyDescent="0.25">
      <c r="A164" s="5" t="s">
        <v>161</v>
      </c>
      <c r="B164" s="11" t="str">
        <f t="shared" si="118"/>
        <v>ORAFP 2 3/8 PERP nc-25</v>
      </c>
      <c r="C164" s="11" t="str">
        <f t="shared" si="119"/>
        <v>ORAFP 5 PERP nc-26</v>
      </c>
      <c r="D164" s="22" t="str">
        <f>_xlfn.XLOOKUP(B164,bonds[unique lookup],bonds[ID_ISIN])</f>
        <v>FR0013413887</v>
      </c>
      <c r="E164" s="22" t="str">
        <f>_xlfn.XLOOKUP(C164,bonds[unique lookup],bonds[ID_ISIN])</f>
        <v>XS1115498260</v>
      </c>
      <c r="F164" s="25">
        <f>_xlfn.XLOOKUP(B164,bonds[unique lookup],bonds[nxt_call_dt])</f>
        <v>45672</v>
      </c>
      <c r="G164" s="25">
        <f>_xlfn.XLOOKUP(C164,bonds[unique lookup],bonds[nxt_call_dt])</f>
        <v>46296</v>
      </c>
      <c r="H164" s="17">
        <f t="shared" si="110"/>
        <v>1.711111111111111</v>
      </c>
      <c r="I164" s="12" t="s">
        <v>35</v>
      </c>
      <c r="J164" s="18" cm="1">
        <f t="array" ref="J164">_xll.BDP(D164&amp;" Corp",$I164)</f>
        <v>234.7629917450258</v>
      </c>
      <c r="K164" s="18" cm="1">
        <f t="array" ref="K164">_xll.BDP(E164&amp;" Corp",$I164)</f>
        <v>245.33404795369057</v>
      </c>
      <c r="L164" s="18">
        <f t="shared" si="111"/>
        <v>10.571056208664771</v>
      </c>
      <c r="M164" s="18">
        <f t="shared" si="120"/>
        <v>6.1778899920768149</v>
      </c>
      <c r="N164" s="12" t="s">
        <v>36</v>
      </c>
      <c r="O164" s="18" cm="1">
        <f t="array" aca="1" ref="O164" ca="1">_xll.BDH(D164&amp;" Corp",$N164,$O$98)</f>
        <v>242.67099999999999</v>
      </c>
      <c r="P164" s="18" cm="1">
        <f t="array" aca="1" ref="P164" ca="1">_xll.BDH(E164&amp;" Corp",$N164,$O$98)</f>
        <v>256.66000000000003</v>
      </c>
      <c r="Q164" s="18">
        <f t="shared" ca="1" si="112"/>
        <v>13.989000000000033</v>
      </c>
      <c r="R164" s="18">
        <f t="shared" ca="1" si="113"/>
        <v>8.1753896103896295</v>
      </c>
      <c r="S164" s="18">
        <f t="shared" ca="1" si="114"/>
        <v>-1.9974996183128146</v>
      </c>
      <c r="T164" s="18" cm="1">
        <f t="array" aca="1" ref="T164" ca="1">_xll.BDH(D164&amp;" Corp",$N164,$T$98)</f>
        <v>227.583</v>
      </c>
      <c r="U164" s="18" cm="1">
        <f t="array" aca="1" ref="U164" ca="1">_xll.BDH(E164&amp;" Corp",$N164,$T$98)</f>
        <v>252.63200000000001</v>
      </c>
      <c r="V164" s="18">
        <f t="shared" ca="1" si="115"/>
        <v>25.049000000000007</v>
      </c>
      <c r="W164" s="18">
        <f t="shared" ca="1" si="116"/>
        <v>14.639025974025978</v>
      </c>
      <c r="X164" s="18">
        <f t="shared" ca="1" si="117"/>
        <v>-8.4611359819491625</v>
      </c>
    </row>
    <row r="165" spans="1:24" x14ac:dyDescent="0.25">
      <c r="A165" s="5" t="s">
        <v>161</v>
      </c>
      <c r="B165" s="11" t="str">
        <f t="shared" si="118"/>
        <v>ORAFP 5 PERP nc-26</v>
      </c>
      <c r="C165" s="11" t="str">
        <f t="shared" si="119"/>
        <v>ORAFP 1 3/4 PERP nc-26</v>
      </c>
      <c r="D165" s="22" t="str">
        <f>_xlfn.XLOOKUP(B165,bonds[unique lookup],bonds[ID_ISIN])</f>
        <v>XS1115498260</v>
      </c>
      <c r="E165" s="22" t="str">
        <f>_xlfn.XLOOKUP(C165,bonds[unique lookup],bonds[ID_ISIN])</f>
        <v>FR0013447877</v>
      </c>
      <c r="F165" s="25">
        <f>_xlfn.XLOOKUP(B165,bonds[unique lookup],bonds[nxt_call_dt])</f>
        <v>46296</v>
      </c>
      <c r="G165" s="25">
        <f>_xlfn.XLOOKUP(C165,bonds[unique lookup],bonds[nxt_call_dt])</f>
        <v>46375</v>
      </c>
      <c r="H165" s="17">
        <f t="shared" si="110"/>
        <v>0.21666666666666667</v>
      </c>
      <c r="I165" s="12" t="s">
        <v>35</v>
      </c>
      <c r="J165" s="18" cm="1">
        <f t="array" ref="J165">_xll.BDP(D165&amp;" Corp",$I165)</f>
        <v>245.33404795369057</v>
      </c>
      <c r="K165" s="18" cm="1">
        <f t="array" ref="K165">_xll.BDP(E165&amp;" Corp",$I165)</f>
        <v>236.3544480213084</v>
      </c>
      <c r="L165" s="18">
        <f t="shared" si="111"/>
        <v>-8.9795999323821718</v>
      </c>
      <c r="M165" s="18">
        <f t="shared" si="120"/>
        <v>-41.444307380225403</v>
      </c>
      <c r="N165" s="12" t="s">
        <v>36</v>
      </c>
      <c r="O165" s="18" cm="1">
        <f t="array" aca="1" ref="O165" ca="1">_xll.BDH(D165&amp;" Corp",$N165,$O$98)</f>
        <v>256.66000000000003</v>
      </c>
      <c r="P165" s="18" cm="1">
        <f t="array" aca="1" ref="P165" ca="1">_xll.BDH(E165&amp;" Corp",$N165,$O$98)</f>
        <v>239.06</v>
      </c>
      <c r="Q165" s="18">
        <f t="shared" ca="1" si="112"/>
        <v>-17.600000000000023</v>
      </c>
      <c r="R165" s="18">
        <f t="shared" ca="1" si="113"/>
        <v>-81.230769230769326</v>
      </c>
      <c r="S165" s="18">
        <f t="shared" ca="1" si="114"/>
        <v>39.786461850543922</v>
      </c>
      <c r="T165" s="18" cm="1">
        <f t="array" aca="1" ref="T165" ca="1">_xll.BDH(D165&amp;" Corp",$N165,$T$98)</f>
        <v>252.63200000000001</v>
      </c>
      <c r="U165" s="18" cm="1">
        <f t="array" aca="1" ref="U165" ca="1">_xll.BDH(E165&amp;" Corp",$N165,$T$98)</f>
        <v>227.89400000000001</v>
      </c>
      <c r="V165" s="18">
        <f t="shared" ca="1" si="115"/>
        <v>-24.738</v>
      </c>
      <c r="W165" s="18">
        <f t="shared" ca="1" si="116"/>
        <v>-114.17538461538462</v>
      </c>
      <c r="X165" s="18">
        <f t="shared" ca="1" si="117"/>
        <v>72.731077235159205</v>
      </c>
    </row>
    <row r="166" spans="1:24" x14ac:dyDescent="0.25">
      <c r="Q166" s="18"/>
      <c r="R166" s="18"/>
      <c r="S166" s="18"/>
      <c r="T166" s="18"/>
      <c r="U166" s="18"/>
      <c r="V166" s="18"/>
      <c r="W166" s="18"/>
      <c r="X166" s="18"/>
    </row>
    <row r="167" spans="1:24" x14ac:dyDescent="0.25">
      <c r="G167" s="5" t="s">
        <v>162</v>
      </c>
      <c r="H167" s="17">
        <f>AVERAGE(H162:H165)</f>
        <v>1.3041666666666667</v>
      </c>
      <c r="M167" s="18">
        <f>AVERAGE(M162:M165)</f>
        <v>2.5918300088580697</v>
      </c>
      <c r="R167" s="18">
        <f ca="1">AVERAGE(R162:R165)</f>
        <v>-7.2615951254147078</v>
      </c>
      <c r="S167" s="18">
        <f ca="1">AVERAGE(S162:S165)</f>
        <v>9.8534251342727774</v>
      </c>
      <c r="W167" s="18">
        <f ca="1">AVERAGE(W162:W165)</f>
        <v>-13.792731861019504</v>
      </c>
      <c r="X167" s="18">
        <f ca="1">AVERAGE(X162:X165)</f>
        <v>16.384561869877572</v>
      </c>
    </row>
    <row r="168" spans="1:24" x14ac:dyDescent="0.25">
      <c r="G168" s="5" t="s">
        <v>167</v>
      </c>
      <c r="H168" s="17">
        <f>_xlfn.STDEV.P(H162:H165)</f>
        <v>0.80241124850564927</v>
      </c>
      <c r="M168" s="18">
        <f>_xlfn.STDEV.P(M162:M165)</f>
        <v>26.316324199508081</v>
      </c>
      <c r="R168" s="18">
        <f ca="1">_xlfn.STDEV.P(R162:R165)</f>
        <v>43.887927534879104</v>
      </c>
      <c r="S168" s="18">
        <f ca="1">_xlfn.STDEV.P(S162:S165)</f>
        <v>19.198319540869825</v>
      </c>
      <c r="W168" s="18">
        <f ca="1">_xlfn.STDEV.P(W162:W165)</f>
        <v>58.453978971537303</v>
      </c>
      <c r="X168" s="18">
        <f ca="1">_xlfn.STDEV.P(X162:X165)</f>
        <v>33.452090740815784</v>
      </c>
    </row>
    <row r="170" spans="1:24" x14ac:dyDescent="0.25">
      <c r="A170" s="5" t="s">
        <v>164</v>
      </c>
      <c r="B170" s="11" t="str">
        <f>C153</f>
        <v>ORAFP 4 PERP nc-21</v>
      </c>
      <c r="C170" s="11" t="str">
        <f>C157</f>
        <v>ORAFP 1 3/4 PERP nc-26</v>
      </c>
      <c r="D170" s="22" t="str">
        <f>_xlfn.XLOOKUP(B170,bonds[unique lookup],bonds[ID_ISIN])</f>
        <v>XS1115490523</v>
      </c>
      <c r="E170" s="22" t="str">
        <f>_xlfn.XLOOKUP(C170,bonds[unique lookup],bonds[ID_ISIN])</f>
        <v>FR0013447877</v>
      </c>
      <c r="F170" s="25">
        <f>_xlfn.XLOOKUP(B170,bonds[unique lookup],bonds[nxt_call_dt])</f>
        <v>44470</v>
      </c>
      <c r="G170" s="25">
        <f>_xlfn.XLOOKUP(C170,bonds[unique lookup],bonds[nxt_call_dt])</f>
        <v>46375</v>
      </c>
      <c r="H170" s="17">
        <f t="shared" ref="H170" si="121">YEARFRAC(F170,G170)</f>
        <v>5.2166666666666668</v>
      </c>
      <c r="I170" s="12" t="s">
        <v>35</v>
      </c>
      <c r="J170" s="18" cm="1">
        <f t="array" ref="J170">_xll.BDP(D170&amp;" Corp",$I170)</f>
        <v>159.49756429971029</v>
      </c>
      <c r="K170" s="18" cm="1">
        <f t="array" ref="K170">_xll.BDP(E170&amp;" Corp",$I170)</f>
        <v>236.3544480213084</v>
      </c>
      <c r="L170" s="18">
        <f t="shared" ref="L170" si="122">K170-J170</f>
        <v>76.856883721598109</v>
      </c>
      <c r="M170" s="18">
        <f t="shared" ref="M170" si="123">L170/H170</f>
        <v>14.732948956216889</v>
      </c>
      <c r="N170" s="12" t="s">
        <v>36</v>
      </c>
      <c r="O170" s="18" cm="1">
        <f t="array" aca="1" ref="O170" ca="1">_xll.BDH(D170&amp;" Corp",$N170,$O$98)</f>
        <v>153.54900000000001</v>
      </c>
      <c r="P170" s="18" cm="1">
        <f t="array" aca="1" ref="P170" ca="1">_xll.BDH(E170&amp;" Corp",$N170,$O$98)</f>
        <v>239.06</v>
      </c>
      <c r="Q170" s="18">
        <f t="shared" ref="Q170" ca="1" si="124">IFERROR(P170-O170,"-")</f>
        <v>85.510999999999996</v>
      </c>
      <c r="R170" s="18">
        <f t="shared" ref="R170" ca="1" si="125">IFERROR(Q170/H170,"-")</f>
        <v>16.391884984025559</v>
      </c>
      <c r="S170" s="18">
        <f t="shared" ref="S170" ca="1" si="126">IFERROR(M170-R170,"-")</f>
        <v>-1.6589360278086698</v>
      </c>
      <c r="T170" s="18" cm="1">
        <f t="array" aca="1" ref="T170" ca="1">_xll.BDH(D170&amp;" Corp",$N170,$T$98)</f>
        <v>140.72999999999999</v>
      </c>
      <c r="U170" s="18" cm="1">
        <f t="array" aca="1" ref="U170" ca="1">_xll.BDH(E170&amp;" Corp",$N170,$T$98)</f>
        <v>227.89400000000001</v>
      </c>
      <c r="V170" s="18">
        <f t="shared" ref="V170" ca="1" si="127">IFERROR(U170-T170,"-")</f>
        <v>87.164000000000016</v>
      </c>
      <c r="W170" s="18">
        <f t="shared" ref="W170" ca="1" si="128">IFERROR(V170/H170,"-")</f>
        <v>16.708753993610227</v>
      </c>
      <c r="X170" s="18">
        <f t="shared" ref="X170" ca="1" si="129">IFERROR(M170-W170,"-")</f>
        <v>-1.9758050373933376</v>
      </c>
    </row>
    <row r="172" spans="1:24" x14ac:dyDescent="0.25">
      <c r="A172" s="5" t="s">
        <v>165</v>
      </c>
      <c r="B172" s="11" t="str">
        <f>C155</f>
        <v>ORAFP 2 3/8 PERP nc-25</v>
      </c>
      <c r="C172" s="11" t="str">
        <f>C157</f>
        <v>ORAFP 1 3/4 PERP nc-26</v>
      </c>
      <c r="D172" s="22" t="str">
        <f>_xlfn.XLOOKUP(B172,bonds[unique lookup],bonds[ID_ISIN])</f>
        <v>FR0013413887</v>
      </c>
      <c r="E172" s="22" t="str">
        <f>_xlfn.XLOOKUP(C172,bonds[unique lookup],bonds[ID_ISIN])</f>
        <v>FR0013447877</v>
      </c>
      <c r="F172" s="25">
        <f>_xlfn.XLOOKUP(B172,bonds[unique lookup],bonds[nxt_call_dt])</f>
        <v>45672</v>
      </c>
      <c r="G172" s="25">
        <f>_xlfn.XLOOKUP(C172,bonds[unique lookup],bonds[nxt_call_dt])</f>
        <v>46375</v>
      </c>
      <c r="H172" s="17">
        <f t="shared" ref="H172" si="130">YEARFRAC(F172,G172)</f>
        <v>1.9277777777777778</v>
      </c>
      <c r="I172" s="12" t="s">
        <v>35</v>
      </c>
      <c r="J172" s="18" cm="1">
        <f t="array" ref="J172">_xll.BDP(D172&amp;" Corp",$I172)</f>
        <v>234.7629917450258</v>
      </c>
      <c r="K172" s="18" cm="1">
        <f t="array" ref="K172">_xll.BDP(E172&amp;" Corp",$I172)</f>
        <v>236.3544480213084</v>
      </c>
      <c r="L172" s="18">
        <f t="shared" ref="L172" si="131">K172-J172</f>
        <v>1.5914562762825994</v>
      </c>
      <c r="M172" s="18">
        <f t="shared" ref="M172" si="132">L172/H172</f>
        <v>0.82553927876330802</v>
      </c>
      <c r="N172" s="12" t="s">
        <v>36</v>
      </c>
      <c r="O172" s="18" cm="1">
        <f t="array" aca="1" ref="O172" ca="1">_xll.BDH(D172&amp;" Corp",$N172,$O$98)</f>
        <v>242.67099999999999</v>
      </c>
      <c r="P172" s="18" cm="1">
        <f t="array" aca="1" ref="P172" ca="1">_xll.BDH(E172&amp;" Corp",$N172,$O$98)</f>
        <v>239.06</v>
      </c>
      <c r="Q172" s="18">
        <f t="shared" ref="Q172" ca="1" si="133">IFERROR(P172-O172,"-")</f>
        <v>-3.61099999999999</v>
      </c>
      <c r="R172" s="18">
        <f t="shared" ref="R172" ca="1" si="134">IFERROR(Q172/H172,"-")</f>
        <v>-1.8731412103746345</v>
      </c>
      <c r="S172" s="18">
        <f t="shared" ref="S172" ca="1" si="135">IFERROR(M172-R172,"-")</f>
        <v>2.6986804891379426</v>
      </c>
      <c r="T172" s="18" cm="1">
        <f t="array" aca="1" ref="T172" ca="1">_xll.BDH(D172&amp;" Corp",$N172,$T$98)</f>
        <v>227.583</v>
      </c>
      <c r="U172" s="18" cm="1">
        <f t="array" aca="1" ref="U172" ca="1">_xll.BDH(E172&amp;" Corp",$N172,$T$98)</f>
        <v>227.89400000000001</v>
      </c>
      <c r="V172" s="18">
        <f t="shared" ref="V172" ca="1" si="136">IFERROR(U172-T172,"-")</f>
        <v>0.31100000000000705</v>
      </c>
      <c r="W172" s="18">
        <f t="shared" ref="W172" ca="1" si="137">IFERROR(V172/H172,"-")</f>
        <v>0.16132564841498925</v>
      </c>
      <c r="X172" s="18">
        <f t="shared" ref="X172" ca="1" si="138">IFERROR(M172-W172,"-")</f>
        <v>0.66421363034831882</v>
      </c>
    </row>
    <row r="182" spans="1:24" x14ac:dyDescent="0.25">
      <c r="B182" s="5" t="s">
        <v>2</v>
      </c>
      <c r="C182" s="11" t="s">
        <v>425</v>
      </c>
    </row>
    <row r="183" spans="1:24" ht="11" x14ac:dyDescent="0.3">
      <c r="C183" s="4" t="s">
        <v>146</v>
      </c>
      <c r="D183" s="4" t="s">
        <v>147</v>
      </c>
    </row>
    <row r="184" spans="1:24" x14ac:dyDescent="0.25">
      <c r="C184" s="5" t="str" cm="1">
        <f t="array" ref="C184:C188">_xlfn._xlws.FILTER(bonds[unique lookup],(bonds[ticker]=C182)*(bonds[crncy]="eur"))</f>
        <v>ENGIFP 4 3/4 PERP nc-21</v>
      </c>
      <c r="D184" s="22" t="str" cm="1">
        <f t="array" ref="D184:D188">_xlfn.XLOOKUP(_xlfn.ANCHORARRAY(C184),bonds[unique lookup],bonds[ID_ISIN])</f>
        <v>FR0011531730</v>
      </c>
    </row>
    <row r="185" spans="1:24" x14ac:dyDescent="0.25">
      <c r="C185" s="5" t="str">
        <v>ENGIFP 1 3/8 PERP nc-23</v>
      </c>
      <c r="D185" s="22" t="str">
        <v>FR0013310505</v>
      </c>
    </row>
    <row r="186" spans="1:24" x14ac:dyDescent="0.25">
      <c r="C186" s="5" t="str">
        <v>ENGIFP 3 7/8 PERP nc-24</v>
      </c>
      <c r="D186" s="22" t="str">
        <v>FR0011942283</v>
      </c>
    </row>
    <row r="187" spans="1:24" x14ac:dyDescent="0.25">
      <c r="C187" s="5" t="str">
        <v>ENGIFP 3 1/4 PERP nc-24</v>
      </c>
      <c r="D187" s="22" t="str">
        <v>FR0013398229</v>
      </c>
    </row>
    <row r="188" spans="1:24" x14ac:dyDescent="0.25">
      <c r="C188" s="5" t="str">
        <v>ENGIFP 1 5/8 PERP nc-25</v>
      </c>
      <c r="D188" s="22" t="str">
        <v>FR0013431244</v>
      </c>
    </row>
    <row r="189" spans="1:24" x14ac:dyDescent="0.25">
      <c r="D189" s="22"/>
    </row>
    <row r="190" spans="1:24" x14ac:dyDescent="0.25">
      <c r="D190" s="22"/>
    </row>
    <row r="192" spans="1:24" x14ac:dyDescent="0.25">
      <c r="A192" s="5" t="s">
        <v>161</v>
      </c>
      <c r="B192" s="11" t="str">
        <f>C184</f>
        <v>ENGIFP 4 3/4 PERP nc-21</v>
      </c>
      <c r="C192" s="11" t="str">
        <f>C185</f>
        <v>ENGIFP 1 3/8 PERP nc-23</v>
      </c>
      <c r="D192" s="22" t="str">
        <f>_xlfn.XLOOKUP(B192,bonds[unique lookup],bonds[ID_ISIN])</f>
        <v>FR0011531730</v>
      </c>
      <c r="E192" s="22" t="str">
        <f>_xlfn.XLOOKUP(C192,bonds[unique lookup],bonds[ID_ISIN])</f>
        <v>FR0013310505</v>
      </c>
      <c r="F192" s="25">
        <f>_xlfn.XLOOKUP(B192,bonds[unique lookup],bonds[nxt_call_dt])</f>
        <v>44387</v>
      </c>
      <c r="G192" s="25">
        <f>_xlfn.XLOOKUP(C192,bonds[unique lookup],bonds[nxt_call_dt])</f>
        <v>44942</v>
      </c>
      <c r="H192" s="17">
        <f t="shared" ref="H192:H195" si="139">YEARFRAC(F192,G192)</f>
        <v>1.5166666666666666</v>
      </c>
      <c r="I192" s="12" t="s">
        <v>35</v>
      </c>
      <c r="J192" s="18" cm="1">
        <f t="array" ref="J192">_xll.BDP(D192&amp;" Corp",$I192)</f>
        <v>157.69689840369668</v>
      </c>
      <c r="K192" s="18" cm="1">
        <f t="array" ref="K192">_xll.BDP(E192&amp;" Corp",$I192)</f>
        <v>253.31853430339621</v>
      </c>
      <c r="L192" s="18">
        <f t="shared" ref="L192:L195" si="140">K192-J192</f>
        <v>95.621635899699527</v>
      </c>
      <c r="M192" s="18">
        <f>IFERROR(L192/H192,"-")</f>
        <v>63.04723246134035</v>
      </c>
      <c r="N192" s="12" t="s">
        <v>36</v>
      </c>
      <c r="O192" s="18" cm="1">
        <f t="array" aca="1" ref="O192" ca="1">_xll.BDH(D192&amp;" Corp",$N192,$O$98)</f>
        <v>149.941</v>
      </c>
      <c r="P192" s="18" cm="1">
        <f t="array" aca="1" ref="P192" ca="1">_xll.BDH(E192&amp;" Corp",$N192,$O$98)</f>
        <v>276.84100000000001</v>
      </c>
      <c r="Q192" s="18">
        <f t="shared" ref="Q192:Q195" ca="1" si="141">IFERROR(P192-O192,"-")</f>
        <v>126.9</v>
      </c>
      <c r="R192" s="18">
        <f t="shared" ref="R192:R195" ca="1" si="142">IFERROR(Q192/H192,"-")</f>
        <v>83.670329670329679</v>
      </c>
      <c r="S192" s="18">
        <f t="shared" ref="S192:S195" ca="1" si="143">IFERROR(M192-R192,"-")</f>
        <v>-20.623097208989329</v>
      </c>
      <c r="T192" s="18" cm="1">
        <f t="array" aca="1" ref="T192" ca="1">_xll.BDH(D192&amp;" Corp",$N192,$T$98)</f>
        <v>144.79400000000001</v>
      </c>
      <c r="U192" s="18" cm="1">
        <f t="array" aca="1" ref="U192" ca="1">_xll.BDH(E192&amp;" Corp",$N192,$T$98)</f>
        <v>247.2</v>
      </c>
      <c r="V192" s="18">
        <f t="shared" ref="V192:V195" ca="1" si="144">IFERROR(U192-T192,"-")</f>
        <v>102.40599999999998</v>
      </c>
      <c r="W192" s="18">
        <f t="shared" ref="W192:W195" ca="1" si="145">IFERROR(V192/H192,"-")</f>
        <v>67.520439560439542</v>
      </c>
      <c r="X192" s="18">
        <f t="shared" ref="X192:X195" ca="1" si="146">IFERROR(M192-W192,"-")</f>
        <v>-4.4732070990991915</v>
      </c>
    </row>
    <row r="193" spans="1:24" x14ac:dyDescent="0.25">
      <c r="A193" s="5" t="s">
        <v>161</v>
      </c>
      <c r="B193" s="11" t="str">
        <f t="shared" ref="B193:B195" si="147">C185</f>
        <v>ENGIFP 1 3/8 PERP nc-23</v>
      </c>
      <c r="C193" s="11" t="str">
        <f t="shared" ref="C193:C195" si="148">C186</f>
        <v>ENGIFP 3 7/8 PERP nc-24</v>
      </c>
      <c r="D193" s="22" t="str">
        <f>_xlfn.XLOOKUP(B193,bonds[unique lookup],bonds[ID_ISIN])</f>
        <v>FR0013310505</v>
      </c>
      <c r="E193" s="22" t="str">
        <f>_xlfn.XLOOKUP(C193,bonds[unique lookup],bonds[ID_ISIN])</f>
        <v>FR0011942283</v>
      </c>
      <c r="F193" s="25">
        <f>_xlfn.XLOOKUP(B193,bonds[unique lookup],bonds[nxt_call_dt])</f>
        <v>44942</v>
      </c>
      <c r="G193" s="25">
        <f>_xlfn.XLOOKUP(C193,bonds[unique lookup],bonds[nxt_call_dt])</f>
        <v>45445</v>
      </c>
      <c r="H193" s="17">
        <f t="shared" si="139"/>
        <v>1.3777777777777778</v>
      </c>
      <c r="I193" s="12" t="s">
        <v>35</v>
      </c>
      <c r="J193" s="18" cm="1">
        <f t="array" ref="J193">_xll.BDP(D193&amp;" Corp",$I193)</f>
        <v>253.31853430339621</v>
      </c>
      <c r="K193" s="18" cm="1">
        <f t="array" ref="K193">_xll.BDP(E193&amp;" Corp",$I193)</f>
        <v>234.83854221467459</v>
      </c>
      <c r="L193" s="18">
        <f t="shared" si="140"/>
        <v>-18.479992088721616</v>
      </c>
      <c r="M193" s="18">
        <f t="shared" ref="M193:M195" si="149">IFERROR(L193/H193,"-")</f>
        <v>-13.41289748374956</v>
      </c>
      <c r="N193" s="12" t="s">
        <v>36</v>
      </c>
      <c r="O193" s="18" cm="1">
        <f t="array" aca="1" ref="O193" ca="1">_xll.BDH(D193&amp;" Corp",$N193,$O$98)</f>
        <v>276.84100000000001</v>
      </c>
      <c r="P193" s="18" cm="1">
        <f t="array" aca="1" ref="P193" ca="1">_xll.BDH(E193&amp;" Corp",$N193,$O$98)</f>
        <v>236.68</v>
      </c>
      <c r="Q193" s="18">
        <f t="shared" ca="1" si="141"/>
        <v>-40.161000000000001</v>
      </c>
      <c r="R193" s="18">
        <f t="shared" ca="1" si="142"/>
        <v>-29.149112903225809</v>
      </c>
      <c r="S193" s="18">
        <f t="shared" ca="1" si="143"/>
        <v>15.736215419476249</v>
      </c>
      <c r="T193" s="18" cm="1">
        <f t="array" aca="1" ref="T193" ca="1">_xll.BDH(D193&amp;" Corp",$N193,$T$98)</f>
        <v>247.2</v>
      </c>
      <c r="U193" s="18" cm="1">
        <f t="array" aca="1" ref="U193" ca="1">_xll.BDH(E193&amp;" Corp",$N193,$T$98)</f>
        <v>223.86500000000001</v>
      </c>
      <c r="V193" s="18">
        <f t="shared" ca="1" si="144"/>
        <v>-23.33499999999998</v>
      </c>
      <c r="W193" s="18">
        <f t="shared" ca="1" si="145"/>
        <v>-16.936693548387083</v>
      </c>
      <c r="X193" s="18">
        <f t="shared" ca="1" si="146"/>
        <v>3.5237960646375228</v>
      </c>
    </row>
    <row r="194" spans="1:24" x14ac:dyDescent="0.25">
      <c r="A194" s="5" t="s">
        <v>161</v>
      </c>
      <c r="B194" s="11" t="str">
        <f t="shared" si="147"/>
        <v>ENGIFP 3 7/8 PERP nc-24</v>
      </c>
      <c r="C194" s="11" t="str">
        <f t="shared" si="148"/>
        <v>ENGIFP 3 1/4 PERP nc-24</v>
      </c>
      <c r="D194" s="22" t="str">
        <f>_xlfn.XLOOKUP(B194,bonds[unique lookup],bonds[ID_ISIN])</f>
        <v>FR0011942283</v>
      </c>
      <c r="E194" s="22" t="str">
        <f>_xlfn.XLOOKUP(C194,bonds[unique lookup],bonds[ID_ISIN])</f>
        <v>FR0013398229</v>
      </c>
      <c r="F194" s="25">
        <f>_xlfn.XLOOKUP(B194,bonds[unique lookup],bonds[nxt_call_dt])</f>
        <v>45445</v>
      </c>
      <c r="G194" s="25">
        <f>_xlfn.XLOOKUP(C194,bonds[unique lookup],bonds[nxt_call_dt])</f>
        <v>45624</v>
      </c>
      <c r="H194" s="17">
        <f t="shared" si="139"/>
        <v>0.48888888888888887</v>
      </c>
      <c r="I194" s="12" t="s">
        <v>35</v>
      </c>
      <c r="J194" s="18" cm="1">
        <f t="array" ref="J194">_xll.BDP(D194&amp;" Corp",$I194)</f>
        <v>234.83854221467459</v>
      </c>
      <c r="K194" s="18" cm="1">
        <f t="array" ref="K194">_xll.BDP(E194&amp;" Corp",$I194)</f>
        <v>241.71589330138676</v>
      </c>
      <c r="L194" s="18">
        <f t="shared" si="140"/>
        <v>6.8773510867121672</v>
      </c>
      <c r="M194" s="18">
        <f t="shared" si="149"/>
        <v>14.067309041002162</v>
      </c>
      <c r="N194" s="12" t="s">
        <v>36</v>
      </c>
      <c r="O194" s="18" cm="1">
        <f t="array" aca="1" ref="O194" ca="1">_xll.BDH(D194&amp;" Corp",$N194,$O$98)</f>
        <v>236.68</v>
      </c>
      <c r="P194" s="18" cm="1">
        <f t="array" aca="1" ref="P194" ca="1">_xll.BDH(E194&amp;" Corp",$N194,$O$98)</f>
        <v>235.72</v>
      </c>
      <c r="Q194" s="18">
        <f t="shared" ca="1" si="141"/>
        <v>-0.96000000000000796</v>
      </c>
      <c r="R194" s="18">
        <f t="shared" ca="1" si="142"/>
        <v>-1.9636363636363801</v>
      </c>
      <c r="S194" s="18">
        <f t="shared" ca="1" si="143"/>
        <v>16.03094540463854</v>
      </c>
      <c r="T194" s="18" cm="1">
        <f t="array" aca="1" ref="T194" ca="1">_xll.BDH(D194&amp;" Corp",$N194,$T$98)</f>
        <v>223.86500000000001</v>
      </c>
      <c r="U194" s="18" cm="1">
        <f t="array" aca="1" ref="U194" ca="1">_xll.BDH(E194&amp;" Corp",$N194,$T$98)</f>
        <v>227.33500000000001</v>
      </c>
      <c r="V194" s="18">
        <f t="shared" ca="1" si="144"/>
        <v>3.4699999999999989</v>
      </c>
      <c r="W194" s="18">
        <f t="shared" ca="1" si="145"/>
        <v>7.0977272727272709</v>
      </c>
      <c r="X194" s="18">
        <f t="shared" ca="1" si="146"/>
        <v>6.9695817682748906</v>
      </c>
    </row>
    <row r="195" spans="1:24" x14ac:dyDescent="0.25">
      <c r="A195" s="5" t="s">
        <v>161</v>
      </c>
      <c r="B195" s="11" t="str">
        <f t="shared" si="147"/>
        <v>ENGIFP 3 1/4 PERP nc-24</v>
      </c>
      <c r="C195" s="11" t="str">
        <f t="shared" si="148"/>
        <v>ENGIFP 1 5/8 PERP nc-25</v>
      </c>
      <c r="D195" s="22" t="str">
        <f>_xlfn.XLOOKUP(B195,bonds[unique lookup],bonds[ID_ISIN])</f>
        <v>FR0013398229</v>
      </c>
      <c r="E195" s="22" t="str">
        <f>_xlfn.XLOOKUP(C195,bonds[unique lookup],bonds[ID_ISIN])</f>
        <v>FR0013431244</v>
      </c>
      <c r="F195" s="25">
        <f>_xlfn.XLOOKUP(B195,bonds[unique lookup],bonds[nxt_call_dt])</f>
        <v>45624</v>
      </c>
      <c r="G195" s="25">
        <f>_xlfn.XLOOKUP(C195,bonds[unique lookup],bonds[nxt_call_dt])</f>
        <v>45755</v>
      </c>
      <c r="H195" s="17">
        <f t="shared" si="139"/>
        <v>0.3611111111111111</v>
      </c>
      <c r="I195" s="12" t="s">
        <v>35</v>
      </c>
      <c r="J195" s="18" cm="1">
        <f t="array" ref="J195">_xll.BDP(D195&amp;" Corp",$I195)</f>
        <v>241.71589330138676</v>
      </c>
      <c r="K195" s="18" cm="1">
        <f t="array" ref="K195">_xll.BDP(E195&amp;" Corp",$I195)</f>
        <v>248.53902864241047</v>
      </c>
      <c r="L195" s="18">
        <f t="shared" si="140"/>
        <v>6.8231353410237148</v>
      </c>
      <c r="M195" s="18">
        <f t="shared" si="149"/>
        <v>18.894836328988749</v>
      </c>
      <c r="N195" s="12" t="s">
        <v>36</v>
      </c>
      <c r="O195" s="18" cm="1">
        <f t="array" aca="1" ref="O195" ca="1">_xll.BDH(D195&amp;" Corp",$N195,$O$98)</f>
        <v>235.72</v>
      </c>
      <c r="P195" s="18" cm="1">
        <f t="array" aca="1" ref="P195" ca="1">_xll.BDH(E195&amp;" Corp",$N195,$O$98)</f>
        <v>247.03399999999999</v>
      </c>
      <c r="Q195" s="18">
        <f t="shared" ca="1" si="141"/>
        <v>11.313999999999993</v>
      </c>
      <c r="R195" s="18">
        <f t="shared" ca="1" si="142"/>
        <v>31.331076923076903</v>
      </c>
      <c r="S195" s="18">
        <f t="shared" ca="1" si="143"/>
        <v>-12.436240594088154</v>
      </c>
      <c r="T195" s="18" cm="1">
        <f t="array" aca="1" ref="T195" ca="1">_xll.BDH(D195&amp;" Corp",$N195,$T$98)</f>
        <v>227.33500000000001</v>
      </c>
      <c r="U195" s="18" cm="1">
        <f t="array" aca="1" ref="U195" ca="1">_xll.BDH(E195&amp;" Corp",$N195,$T$98)</f>
        <v>236.82900000000001</v>
      </c>
      <c r="V195" s="18">
        <f t="shared" ca="1" si="144"/>
        <v>9.4939999999999998</v>
      </c>
      <c r="W195" s="18">
        <f t="shared" ca="1" si="145"/>
        <v>26.291076923076922</v>
      </c>
      <c r="X195" s="18">
        <f t="shared" ca="1" si="146"/>
        <v>-7.396240594088173</v>
      </c>
    </row>
    <row r="196" spans="1:24" x14ac:dyDescent="0.25">
      <c r="Q196" s="18"/>
      <c r="R196" s="18"/>
      <c r="S196" s="18"/>
      <c r="T196" s="18"/>
      <c r="U196" s="18"/>
      <c r="V196" s="18"/>
      <c r="W196" s="18"/>
      <c r="X196" s="18"/>
    </row>
    <row r="197" spans="1:24" x14ac:dyDescent="0.25">
      <c r="G197" s="5" t="s">
        <v>162</v>
      </c>
      <c r="H197" s="17">
        <f>AVERAGE(H192:H195)</f>
        <v>0.93611111111111112</v>
      </c>
      <c r="M197" s="18">
        <f>AVERAGE(M192:M195)</f>
        <v>20.649120086895426</v>
      </c>
      <c r="R197" s="18">
        <f ca="1">AVERAGE(R192:R195)</f>
        <v>20.972164331636098</v>
      </c>
      <c r="S197" s="18">
        <f ca="1">AVERAGE(S192:S195)</f>
        <v>-0.32304424474067339</v>
      </c>
      <c r="W197" s="18">
        <f ca="1">AVERAGE(W192:W195)</f>
        <v>20.993137551964161</v>
      </c>
      <c r="X197" s="18">
        <f ca="1">AVERAGE(X192:X195)</f>
        <v>-0.34401746506873776</v>
      </c>
    </row>
    <row r="198" spans="1:24" x14ac:dyDescent="0.25">
      <c r="G198" s="5" t="s">
        <v>167</v>
      </c>
      <c r="H198" s="17">
        <f>_xlfn.STDEV.P(H192:H195)</f>
        <v>0.51544808506294948</v>
      </c>
      <c r="M198" s="18">
        <f>_xlfn.STDEV.P(M192:M195)</f>
        <v>27.405376854032152</v>
      </c>
      <c r="R198" s="18">
        <f ca="1">_xlfn.STDEV.P(R192:R195)</f>
        <v>42.061147131594069</v>
      </c>
      <c r="S198" s="18">
        <f ca="1">_xlfn.STDEV.P(S192:S195)</f>
        <v>16.463402401720405</v>
      </c>
      <c r="W198" s="18">
        <f ca="1">_xlfn.STDEV.P(W192:W195)</f>
        <v>30.92172580847226</v>
      </c>
      <c r="X198" s="18">
        <f ca="1">_xlfn.STDEV.P(X192:X195)</f>
        <v>5.8144813470722507</v>
      </c>
    </row>
    <row r="200" spans="1:24" x14ac:dyDescent="0.25">
      <c r="A200" s="5" t="s">
        <v>164</v>
      </c>
      <c r="B200" s="11" t="str">
        <f>C184</f>
        <v>ENGIFP 4 3/4 PERP nc-21</v>
      </c>
      <c r="C200" s="11" t="str">
        <f>C188</f>
        <v>ENGIFP 1 5/8 PERP nc-25</v>
      </c>
      <c r="D200" s="22" t="str">
        <f>_xlfn.XLOOKUP(B200,bonds[unique lookup],bonds[ID_ISIN])</f>
        <v>FR0011531730</v>
      </c>
      <c r="E200" s="22" t="str">
        <f>_xlfn.XLOOKUP(C200,bonds[unique lookup],bonds[ID_ISIN])</f>
        <v>FR0013431244</v>
      </c>
      <c r="F200" s="25">
        <f>_xlfn.XLOOKUP(B200,bonds[unique lookup],bonds[nxt_call_dt])</f>
        <v>44387</v>
      </c>
      <c r="G200" s="25">
        <f>_xlfn.XLOOKUP(C200,bonds[unique lookup],bonds[nxt_call_dt])</f>
        <v>45755</v>
      </c>
      <c r="H200" s="17">
        <f t="shared" ref="H200" si="150">YEARFRAC(F200,G200)</f>
        <v>3.7444444444444445</v>
      </c>
      <c r="I200" s="12" t="s">
        <v>35</v>
      </c>
      <c r="J200" s="18" cm="1">
        <f t="array" ref="J200">_xll.BDP(D200&amp;" Corp",$I200)</f>
        <v>157.69689840369668</v>
      </c>
      <c r="K200" s="18" cm="1">
        <f t="array" ref="K200">_xll.BDP(E200&amp;" Corp",$I200)</f>
        <v>248.53902864241047</v>
      </c>
      <c r="L200" s="18">
        <f t="shared" ref="L200" si="151">K200-J200</f>
        <v>90.842130238713793</v>
      </c>
      <c r="M200" s="18">
        <f t="shared" ref="M200" si="152">L200/H200</f>
        <v>24.26050955930042</v>
      </c>
      <c r="N200" s="12" t="s">
        <v>36</v>
      </c>
      <c r="O200" s="18" cm="1">
        <f t="array" aca="1" ref="O200" ca="1">_xll.BDH(D200&amp;" Corp",$N200,$O$98)</f>
        <v>149.941</v>
      </c>
      <c r="P200" s="18" cm="1">
        <f t="array" aca="1" ref="P200" ca="1">_xll.BDH(E200&amp;" Corp",$N200,$O$98)</f>
        <v>247.03399999999999</v>
      </c>
      <c r="Q200" s="18">
        <f t="shared" ref="Q200" ca="1" si="153">IFERROR(P200-O200,"-")</f>
        <v>97.092999999999989</v>
      </c>
      <c r="R200" s="18">
        <f t="shared" ref="R200" ca="1" si="154">IFERROR(Q200/H200,"-")</f>
        <v>25.929881305637981</v>
      </c>
      <c r="S200" s="18">
        <f t="shared" ref="S200" ca="1" si="155">IFERROR(M200-R200,"-")</f>
        <v>-1.6693717463375606</v>
      </c>
      <c r="T200" s="18" cm="1">
        <f t="array" aca="1" ref="T200" ca="1">_xll.BDH(D200&amp;" Corp",$N200,$T$98)</f>
        <v>144.79400000000001</v>
      </c>
      <c r="U200" s="18" cm="1">
        <f t="array" aca="1" ref="U200" ca="1">_xll.BDH(E200&amp;" Corp",$N200,$T$98)</f>
        <v>236.82900000000001</v>
      </c>
      <c r="V200" s="18">
        <f t="shared" ref="V200" ca="1" si="156">IFERROR(U200-T200,"-")</f>
        <v>92.034999999999997</v>
      </c>
      <c r="W200" s="18">
        <f t="shared" ref="W200" ca="1" si="157">IFERROR(V200/H200,"-")</f>
        <v>24.57908011869436</v>
      </c>
      <c r="X200" s="18">
        <f t="shared" ref="X200" ca="1" si="158">IFERROR(M200-W200,"-")</f>
        <v>-0.3185705593939403</v>
      </c>
    </row>
    <row r="202" spans="1:24" x14ac:dyDescent="0.25">
      <c r="A202" s="5" t="s">
        <v>165</v>
      </c>
      <c r="B202" s="11" t="str">
        <f>C186</f>
        <v>ENGIFP 3 7/8 PERP nc-24</v>
      </c>
      <c r="C202" s="11" t="str">
        <f>C188</f>
        <v>ENGIFP 1 5/8 PERP nc-25</v>
      </c>
      <c r="D202" s="22" t="str">
        <f>_xlfn.XLOOKUP(B202,bonds[unique lookup],bonds[ID_ISIN])</f>
        <v>FR0011942283</v>
      </c>
      <c r="E202" s="22" t="str">
        <f>_xlfn.XLOOKUP(C202,bonds[unique lookup],bonds[ID_ISIN])</f>
        <v>FR0013431244</v>
      </c>
      <c r="F202" s="25">
        <f>_xlfn.XLOOKUP(B202,bonds[unique lookup],bonds[nxt_call_dt])</f>
        <v>45445</v>
      </c>
      <c r="G202" s="25">
        <f>_xlfn.XLOOKUP(C202,bonds[unique lookup],bonds[nxt_call_dt])</f>
        <v>45755</v>
      </c>
      <c r="H202" s="17">
        <f t="shared" ref="H202" si="159">YEARFRAC(F202,G202)</f>
        <v>0.85</v>
      </c>
      <c r="I202" s="12" t="s">
        <v>35</v>
      </c>
      <c r="J202" s="18" cm="1">
        <f t="array" ref="J202">_xll.BDP(D202&amp;" Corp",$I202)</f>
        <v>234.83854221467459</v>
      </c>
      <c r="K202" s="18" cm="1">
        <f t="array" ref="K202">_xll.BDP(E202&amp;" Corp",$I202)</f>
        <v>248.53902864241047</v>
      </c>
      <c r="L202" s="18">
        <f t="shared" ref="L202" si="160">K202-J202</f>
        <v>13.700486427735882</v>
      </c>
      <c r="M202" s="18">
        <f t="shared" ref="M202" si="161">L202/H202</f>
        <v>16.118219326748097</v>
      </c>
      <c r="N202" s="12" t="s">
        <v>36</v>
      </c>
      <c r="O202" s="18" cm="1">
        <f t="array" aca="1" ref="O202" ca="1">_xll.BDH(D202&amp;" Corp",$N202,$O$98)</f>
        <v>236.68</v>
      </c>
      <c r="P202" s="18" cm="1">
        <f t="array" aca="1" ref="P202" ca="1">_xll.BDH(E202&amp;" Corp",$N202,$O$98)</f>
        <v>247.03399999999999</v>
      </c>
      <c r="Q202" s="18">
        <f t="shared" ref="Q202" ca="1" si="162">IFERROR(P202-O202,"-")</f>
        <v>10.353999999999985</v>
      </c>
      <c r="R202" s="18">
        <f t="shared" ref="R202" ca="1" si="163">IFERROR(Q202/H202,"-")</f>
        <v>12.181176470588218</v>
      </c>
      <c r="S202" s="18">
        <f t="shared" ref="S202" ca="1" si="164">IFERROR(M202-R202,"-")</f>
        <v>3.9370428561598789</v>
      </c>
      <c r="T202" s="18" cm="1">
        <f t="array" aca="1" ref="T202" ca="1">_xll.BDH(D202&amp;" Corp",$N202,$T$98)</f>
        <v>223.86500000000001</v>
      </c>
      <c r="U202" s="18" cm="1">
        <f t="array" aca="1" ref="U202" ca="1">_xll.BDH(E202&amp;" Corp",$N202,$T$98)</f>
        <v>236.82900000000001</v>
      </c>
      <c r="V202" s="18">
        <f t="shared" ref="V202" ca="1" si="165">IFERROR(U202-T202,"-")</f>
        <v>12.963999999999999</v>
      </c>
      <c r="W202" s="18">
        <f t="shared" ref="W202" ca="1" si="166">IFERROR(V202/H202,"-")</f>
        <v>15.251764705882351</v>
      </c>
      <c r="X202" s="18">
        <f t="shared" ref="X202" ca="1" si="167">IFERROR(M202-W202,"-")</f>
        <v>0.86645462086574554</v>
      </c>
    </row>
    <row r="208" spans="1:24" x14ac:dyDescent="0.25">
      <c r="B208" s="5" t="s">
        <v>2</v>
      </c>
      <c r="C208" s="11" t="s">
        <v>426</v>
      </c>
    </row>
    <row r="209" spans="1:24" ht="11" x14ac:dyDescent="0.3">
      <c r="C209" s="4" t="s">
        <v>146</v>
      </c>
      <c r="D209" s="4" t="s">
        <v>147</v>
      </c>
    </row>
    <row r="210" spans="1:24" x14ac:dyDescent="0.25">
      <c r="C210" s="5" t="str" cm="1">
        <f t="array" ref="C210:C214">_xlfn._xlws.FILTER(bonds[unique lookup],(bonds[ticker]=C208)*(bonds[crncy]="eur"))</f>
        <v>EDF 4 1/8 PERP nc-22</v>
      </c>
      <c r="D210" s="22" t="str" cm="1">
        <f t="array" ref="D210:D214">_xlfn.XLOOKUP(_xlfn.ANCHORARRAY(C210),bonds[unique lookup],bonds[ID_ISIN])</f>
        <v>FR0011697010</v>
      </c>
    </row>
    <row r="211" spans="1:24" x14ac:dyDescent="0.25">
      <c r="C211" s="5" t="str">
        <v>EDF 4 PERP nc-24</v>
      </c>
      <c r="D211" s="22" t="str">
        <v>FR0013367612</v>
      </c>
    </row>
    <row r="212" spans="1:24" x14ac:dyDescent="0.25">
      <c r="C212" s="5" t="str">
        <v>EDF 5 3/8 PERP nc-25</v>
      </c>
      <c r="D212" s="22" t="str">
        <v>FR0011401751</v>
      </c>
    </row>
    <row r="213" spans="1:24" x14ac:dyDescent="0.25">
      <c r="C213" s="5" t="str">
        <v>EDF 5 PERP nc-26</v>
      </c>
      <c r="D213" s="22" t="str">
        <v>FR0011697028</v>
      </c>
    </row>
    <row r="214" spans="1:24" x14ac:dyDescent="0.25">
      <c r="C214" s="5" t="str">
        <v>EDF 3 PERP nc-27</v>
      </c>
      <c r="D214" s="22" t="str">
        <v>FR0013464922</v>
      </c>
    </row>
    <row r="215" spans="1:24" x14ac:dyDescent="0.25">
      <c r="D215" s="22"/>
    </row>
    <row r="216" spans="1:24" x14ac:dyDescent="0.25">
      <c r="D216" s="22"/>
    </row>
    <row r="217" spans="1:24" x14ac:dyDescent="0.25">
      <c r="A217" s="5" t="s">
        <v>161</v>
      </c>
      <c r="B217" s="11" t="str">
        <f>C210</f>
        <v>EDF 4 1/8 PERP nc-22</v>
      </c>
      <c r="C217" s="11" t="str">
        <f>C211</f>
        <v>EDF 4 PERP nc-24</v>
      </c>
      <c r="D217" s="22" t="str">
        <f>_xlfn.XLOOKUP(B217,bonds[unique lookup],bonds[ID_ISIN])</f>
        <v>FR0011697010</v>
      </c>
      <c r="E217" s="22" t="str">
        <f>_xlfn.XLOOKUP(C217,bonds[unique lookup],bonds[ID_ISIN])</f>
        <v>FR0013367612</v>
      </c>
      <c r="F217" s="25">
        <f>_xlfn.XLOOKUP(B217,bonds[unique lookup],bonds[nxt_call_dt])</f>
        <v>44583</v>
      </c>
      <c r="G217" s="25">
        <f>_xlfn.XLOOKUP(C217,bonds[unique lookup],bonds[nxt_call_dt])</f>
        <v>45477</v>
      </c>
      <c r="H217" s="17">
        <f t="shared" ref="H217:H220" si="168">YEARFRAC(F217,G217)</f>
        <v>2.4500000000000002</v>
      </c>
      <c r="I217" s="12" t="s">
        <v>35</v>
      </c>
      <c r="J217" s="18" cm="1">
        <f t="array" ref="J217">_xll.BDP(D217&amp;" Corp",$I217)</f>
        <v>213.7048695866381</v>
      </c>
      <c r="K217" s="18" cm="1">
        <f t="array" ref="K217">_xll.BDP(E217&amp;" Corp",$I217)</f>
        <v>325.07721193414682</v>
      </c>
      <c r="L217" s="18">
        <f t="shared" ref="L217:L220" si="169">K217-J217</f>
        <v>111.37234234750872</v>
      </c>
      <c r="M217" s="18">
        <f t="shared" ref="M217:M220" si="170">IFERROR(L217/H217,"-")</f>
        <v>45.458098917350497</v>
      </c>
      <c r="N217" s="12" t="s">
        <v>36</v>
      </c>
      <c r="O217" s="18" cm="1">
        <f t="array" aca="1" ref="O217" ca="1">_xll.BDH(D217&amp;" Corp",$N217,$O$98)</f>
        <v>325.74900000000002</v>
      </c>
      <c r="P217" s="18" cm="1">
        <f t="array" aca="1" ref="P217" ca="1">_xll.BDH(E217&amp;" Corp",$N217,$O$98)</f>
        <v>397.04399999999998</v>
      </c>
      <c r="Q217" s="18">
        <f t="shared" ref="Q217:Q220" ca="1" si="171">IFERROR(P217-O217,"-")</f>
        <v>71.294999999999959</v>
      </c>
      <c r="R217" s="18">
        <f t="shared" ref="R217:R220" ca="1" si="172">IFERROR(Q217/H217,"-")</f>
        <v>29.09999999999998</v>
      </c>
      <c r="S217" s="18">
        <f t="shared" ref="S217:S220" ca="1" si="173">IFERROR(M217-R217,"-")</f>
        <v>16.358098917350517</v>
      </c>
      <c r="T217" s="18" cm="1">
        <f t="array" aca="1" ref="T217" ca="1">_xll.BDH(D217&amp;" Corp",$N217,$T$98)</f>
        <v>321.63299999999998</v>
      </c>
      <c r="U217" s="18" cm="1">
        <f t="array" aca="1" ref="U217" ca="1">_xll.BDH(E217&amp;" Corp",$N217,$T$98)</f>
        <v>377.30700000000002</v>
      </c>
      <c r="V217" s="18">
        <f t="shared" ref="V217:V220" ca="1" si="174">IFERROR(U217-T217,"-")</f>
        <v>55.674000000000035</v>
      </c>
      <c r="W217" s="18">
        <f t="shared" ref="W217:W220" ca="1" si="175">IFERROR(V217/H217,"-")</f>
        <v>22.724081632653075</v>
      </c>
      <c r="X217" s="18">
        <f t="shared" ref="X217:X220" ca="1" si="176">IFERROR(M217-W217,"-")</f>
        <v>22.734017284697423</v>
      </c>
    </row>
    <row r="218" spans="1:24" x14ac:dyDescent="0.25">
      <c r="A218" s="5" t="s">
        <v>161</v>
      </c>
      <c r="B218" s="11" t="str">
        <f>C211</f>
        <v>EDF 4 PERP nc-24</v>
      </c>
      <c r="C218" s="11" t="str">
        <f>C212</f>
        <v>EDF 5 3/8 PERP nc-25</v>
      </c>
      <c r="D218" s="22" t="str">
        <f>_xlfn.XLOOKUP(B218,bonds[unique lookup],bonds[ID_ISIN])</f>
        <v>FR0013367612</v>
      </c>
      <c r="E218" s="22" t="str">
        <f>_xlfn.XLOOKUP(C218,bonds[unique lookup],bonds[ID_ISIN])</f>
        <v>FR0011401751</v>
      </c>
      <c r="F218" s="25">
        <f>_xlfn.XLOOKUP(B218,bonds[unique lookup],bonds[nxt_call_dt])</f>
        <v>45477</v>
      </c>
      <c r="G218" s="25">
        <f>_xlfn.XLOOKUP(C218,bonds[unique lookup],bonds[nxt_call_dt])</f>
        <v>45686</v>
      </c>
      <c r="H218" s="17">
        <f t="shared" si="168"/>
        <v>0.56944444444444442</v>
      </c>
      <c r="I218" s="12" t="s">
        <v>35</v>
      </c>
      <c r="J218" s="18" cm="1">
        <f t="array" ref="J218">_xll.BDP(D218&amp;" Corp",$I218)</f>
        <v>325.07721193414682</v>
      </c>
      <c r="K218" s="18" cm="1">
        <f t="array" ref="K218">_xll.BDP(E218&amp;" Corp",$I218)</f>
        <v>345.91239407835633</v>
      </c>
      <c r="L218" s="18">
        <f t="shared" si="169"/>
        <v>20.835182144209512</v>
      </c>
      <c r="M218" s="18">
        <f t="shared" si="170"/>
        <v>36.588612545928903</v>
      </c>
      <c r="N218" s="12" t="s">
        <v>36</v>
      </c>
      <c r="O218" s="18" cm="1">
        <f t="array" aca="1" ref="O218" ca="1">_xll.BDH(D218&amp;" Corp",$N218,$O$98)</f>
        <v>397.04399999999998</v>
      </c>
      <c r="P218" s="18" cm="1">
        <f t="array" aca="1" ref="P218" ca="1">_xll.BDH(E218&amp;" Corp",$N218,$O$98)</f>
        <v>412.89800000000002</v>
      </c>
      <c r="Q218" s="18">
        <f t="shared" ca="1" si="171"/>
        <v>15.854000000000042</v>
      </c>
      <c r="R218" s="18">
        <f t="shared" ca="1" si="172"/>
        <v>27.841170731707393</v>
      </c>
      <c r="S218" s="18">
        <f t="shared" ca="1" si="173"/>
        <v>8.74744181422151</v>
      </c>
      <c r="T218" s="18" cm="1">
        <f t="array" aca="1" ref="T218" ca="1">_xll.BDH(D218&amp;" Corp",$N218,$T$98)</f>
        <v>377.30700000000002</v>
      </c>
      <c r="U218" s="18" cm="1">
        <f t="array" aca="1" ref="U218" ca="1">_xll.BDH(E218&amp;" Corp",$N218,$T$98)</f>
        <v>396.65600000000001</v>
      </c>
      <c r="V218" s="18">
        <f t="shared" ca="1" si="174"/>
        <v>19.34899999999999</v>
      </c>
      <c r="W218" s="18">
        <f t="shared" ca="1" si="175"/>
        <v>33.978731707317053</v>
      </c>
      <c r="X218" s="18">
        <f t="shared" ca="1" si="176"/>
        <v>2.6098808386118506</v>
      </c>
    </row>
    <row r="219" spans="1:24" x14ac:dyDescent="0.25">
      <c r="A219" s="5" t="s">
        <v>161</v>
      </c>
      <c r="B219" s="11" t="str">
        <f>C212</f>
        <v>EDF 5 3/8 PERP nc-25</v>
      </c>
      <c r="C219" s="11" t="str">
        <f>C213</f>
        <v>EDF 5 PERP nc-26</v>
      </c>
      <c r="D219" s="22" t="str">
        <f>_xlfn.XLOOKUP(B219,bonds[unique lookup],bonds[ID_ISIN])</f>
        <v>FR0011401751</v>
      </c>
      <c r="E219" s="22" t="str">
        <f>_xlfn.XLOOKUP(C219,bonds[unique lookup],bonds[ID_ISIN])</f>
        <v>FR0011697028</v>
      </c>
      <c r="F219" s="25">
        <f>_xlfn.XLOOKUP(B219,bonds[unique lookup],bonds[nxt_call_dt])</f>
        <v>45686</v>
      </c>
      <c r="G219" s="25">
        <f>_xlfn.XLOOKUP(C219,bonds[unique lookup],bonds[nxt_call_dt])</f>
        <v>46044</v>
      </c>
      <c r="H219" s="17">
        <f t="shared" si="168"/>
        <v>0.98055555555555551</v>
      </c>
      <c r="I219" s="12" t="s">
        <v>35</v>
      </c>
      <c r="J219" s="18" cm="1">
        <f t="array" ref="J219">_xll.BDP(D219&amp;" Corp",$I219)</f>
        <v>345.91239407835633</v>
      </c>
      <c r="K219" s="18" cm="1">
        <f t="array" ref="K219">_xll.BDP(E219&amp;" Corp",$I219)</f>
        <v>357.50887889874906</v>
      </c>
      <c r="L219" s="18">
        <f t="shared" si="169"/>
        <v>11.596484820392732</v>
      </c>
      <c r="M219" s="18">
        <f t="shared" si="170"/>
        <v>11.826443442893439</v>
      </c>
      <c r="N219" s="12" t="s">
        <v>36</v>
      </c>
      <c r="O219" s="18" cm="1">
        <f t="array" aca="1" ref="O219" ca="1">_xll.BDH(D219&amp;" Corp",$N219,$O$98)</f>
        <v>412.89800000000002</v>
      </c>
      <c r="P219" s="18" cm="1">
        <f t="array" aca="1" ref="P219" ca="1">_xll.BDH(E219&amp;" Corp",$N219,$O$98)</f>
        <v>418.54</v>
      </c>
      <c r="Q219" s="18">
        <f t="shared" ca="1" si="171"/>
        <v>5.6419999999999959</v>
      </c>
      <c r="R219" s="18">
        <f t="shared" ca="1" si="172"/>
        <v>5.7538810198300245</v>
      </c>
      <c r="S219" s="18">
        <f t="shared" ca="1" si="173"/>
        <v>6.0725624230634141</v>
      </c>
      <c r="T219" s="18" cm="1">
        <f t="array" aca="1" ref="T219" ca="1">_xll.BDH(D219&amp;" Corp",$N219,$T$98)</f>
        <v>396.65600000000001</v>
      </c>
      <c r="U219" s="18" cm="1">
        <f t="array" aca="1" ref="U219" ca="1">_xll.BDH(E219&amp;" Corp",$N219,$T$98)</f>
        <v>401.89600000000002</v>
      </c>
      <c r="V219" s="18">
        <f t="shared" ca="1" si="174"/>
        <v>5.2400000000000091</v>
      </c>
      <c r="W219" s="18">
        <f t="shared" ca="1" si="175"/>
        <v>5.3439093484419358</v>
      </c>
      <c r="X219" s="18">
        <f t="shared" ca="1" si="176"/>
        <v>6.4825340944515029</v>
      </c>
    </row>
    <row r="220" spans="1:24" x14ac:dyDescent="0.25">
      <c r="A220" s="5" t="s">
        <v>161</v>
      </c>
      <c r="B220" s="11" t="str">
        <f>C213</f>
        <v>EDF 5 PERP nc-26</v>
      </c>
      <c r="C220" s="11" t="str">
        <f>C214</f>
        <v>EDF 3 PERP nc-27</v>
      </c>
      <c r="D220" s="22" t="str">
        <f>_xlfn.XLOOKUP(B220,bonds[unique lookup],bonds[ID_ISIN])</f>
        <v>FR0011697028</v>
      </c>
      <c r="E220" s="22" t="str">
        <f>_xlfn.XLOOKUP(C220,bonds[unique lookup],bonds[ID_ISIN])</f>
        <v>FR0013464922</v>
      </c>
      <c r="F220" s="25">
        <f>_xlfn.XLOOKUP(B220,bonds[unique lookup],bonds[nxt_call_dt])</f>
        <v>46044</v>
      </c>
      <c r="G220" s="25">
        <f>_xlfn.XLOOKUP(C220,bonds[unique lookup],bonds[nxt_call_dt])</f>
        <v>46633</v>
      </c>
      <c r="H220" s="17">
        <f t="shared" si="168"/>
        <v>1.6138888888888889</v>
      </c>
      <c r="I220" s="12" t="s">
        <v>35</v>
      </c>
      <c r="J220" s="18" cm="1">
        <f t="array" ref="J220">_xll.BDP(D220&amp;" Corp",$I220)</f>
        <v>357.50887889874906</v>
      </c>
      <c r="K220" s="18" cm="1">
        <f t="array" ref="K220">_xll.BDP(E220&amp;" Corp",$I220)</f>
        <v>371.2964660598127</v>
      </c>
      <c r="L220" s="18">
        <f t="shared" si="169"/>
        <v>13.787587161063641</v>
      </c>
      <c r="M220" s="18">
        <f t="shared" si="170"/>
        <v>8.5430832667519976</v>
      </c>
      <c r="N220" s="12" t="s">
        <v>36</v>
      </c>
      <c r="O220" s="18" cm="1">
        <f t="array" aca="1" ref="O220" ca="1">_xll.BDH(D220&amp;" Corp",$N220,$O$98)</f>
        <v>418.54</v>
      </c>
      <c r="P220" s="18" cm="1">
        <f t="array" aca="1" ref="P220" ca="1">_xll.BDH(E220&amp;" Corp",$N220,$O$98)</f>
        <v>413.34</v>
      </c>
      <c r="Q220" s="18">
        <f t="shared" ca="1" si="171"/>
        <v>-5.2000000000000455</v>
      </c>
      <c r="R220" s="18">
        <f t="shared" ca="1" si="172"/>
        <v>-3.2220309810671539</v>
      </c>
      <c r="S220" s="18">
        <f t="shared" ca="1" si="173"/>
        <v>11.765114247819152</v>
      </c>
      <c r="T220" s="18" cm="1">
        <f t="array" aca="1" ref="T220" ca="1">_xll.BDH(D220&amp;" Corp",$N220,$T$98)</f>
        <v>401.89600000000002</v>
      </c>
      <c r="U220" s="18" cm="1">
        <f t="array" aca="1" ref="U220" ca="1">_xll.BDH(E220&amp;" Corp",$N220,$T$98)</f>
        <v>380.029</v>
      </c>
      <c r="V220" s="18">
        <f t="shared" ca="1" si="174"/>
        <v>-21.867000000000019</v>
      </c>
      <c r="W220" s="18">
        <f t="shared" ca="1" si="175"/>
        <v>-13.549259896729787</v>
      </c>
      <c r="X220" s="18">
        <f t="shared" ca="1" si="176"/>
        <v>22.092343163481786</v>
      </c>
    </row>
    <row r="222" spans="1:24" x14ac:dyDescent="0.25">
      <c r="G222" s="5" t="s">
        <v>162</v>
      </c>
      <c r="H222" s="17">
        <f>AVERAGE(H217:H220)</f>
        <v>1.4034722222222222</v>
      </c>
      <c r="M222" s="18">
        <f>AVERAGE(M217:M220)</f>
        <v>25.604059543231205</v>
      </c>
      <c r="R222" s="18">
        <f ca="1">AVERAGE(R217:R220)</f>
        <v>14.868255192617561</v>
      </c>
      <c r="S222" s="18">
        <f ca="1">AVERAGE(S217:S220)</f>
        <v>10.735804350613648</v>
      </c>
      <c r="W222" s="18">
        <f ca="1">AVERAGE(W217:W220)</f>
        <v>12.124365697920569</v>
      </c>
      <c r="X222" s="18">
        <f ca="1">AVERAGE(X217:X220)</f>
        <v>13.47969384531064</v>
      </c>
    </row>
    <row r="223" spans="1:24" x14ac:dyDescent="0.25">
      <c r="G223" s="5" t="s">
        <v>167</v>
      </c>
      <c r="H223" s="17">
        <f>_xlfn.STDEV.P(H217:H220)</f>
        <v>0.70956965907530678</v>
      </c>
      <c r="M223" s="18">
        <f>_xlfn.STDEV.P(M217:M220)</f>
        <v>15.777697083644908</v>
      </c>
      <c r="R223" s="18">
        <f ca="1">_xlfn.STDEV.P(R217:R220)</f>
        <v>13.974703648505393</v>
      </c>
      <c r="S223" s="18">
        <f ca="1">_xlfn.STDEV.P(S217:S220)</f>
        <v>3.8199831776669644</v>
      </c>
      <c r="W223" s="18">
        <f ca="1">_xlfn.STDEV.P(W217:W220)</f>
        <v>17.99358865715201</v>
      </c>
      <c r="X223" s="18">
        <f ca="1">_xlfn.STDEV.P(X217:X220)</f>
        <v>9.0406486213409885</v>
      </c>
    </row>
    <row r="226" spans="1:24" x14ac:dyDescent="0.25">
      <c r="A226" s="5" t="s">
        <v>164</v>
      </c>
      <c r="B226" s="11" t="str">
        <f>C210</f>
        <v>EDF 4 1/8 PERP nc-22</v>
      </c>
      <c r="C226" s="11" t="str">
        <f>C214</f>
        <v>EDF 3 PERP nc-27</v>
      </c>
      <c r="D226" s="22" t="str">
        <f>_xlfn.XLOOKUP(B226,bonds[unique lookup],bonds[ID_ISIN])</f>
        <v>FR0011697010</v>
      </c>
      <c r="E226" s="22" t="str">
        <f>_xlfn.XLOOKUP(C226,bonds[unique lookup],bonds[ID_ISIN])</f>
        <v>FR0013464922</v>
      </c>
      <c r="F226" s="25">
        <f>_xlfn.XLOOKUP(B226,bonds[unique lookup],bonds[nxt_call_dt])</f>
        <v>44583</v>
      </c>
      <c r="G226" s="25">
        <f>_xlfn.XLOOKUP(C226,bonds[unique lookup],bonds[nxt_call_dt])</f>
        <v>46633</v>
      </c>
      <c r="H226" s="17">
        <f t="shared" ref="H226" si="177">YEARFRAC(F226,G226)</f>
        <v>5.6138888888888889</v>
      </c>
      <c r="I226" s="12" t="s">
        <v>35</v>
      </c>
      <c r="J226" s="18" cm="1">
        <f t="array" ref="J226">_xll.BDP(D226&amp;" Corp",$I226)</f>
        <v>213.7048695866381</v>
      </c>
      <c r="K226" s="18" cm="1">
        <f t="array" ref="K226">_xll.BDP(E226&amp;" Corp",$I226)</f>
        <v>371.2964660598127</v>
      </c>
      <c r="L226" s="18">
        <f t="shared" ref="L226" si="178">K226-J226</f>
        <v>157.5915964731746</v>
      </c>
      <c r="M226" s="18">
        <f t="shared" ref="M226" si="179">L226/H226</f>
        <v>28.071734156527885</v>
      </c>
      <c r="N226" s="12" t="s">
        <v>36</v>
      </c>
      <c r="O226" s="18" cm="1">
        <f t="array" aca="1" ref="O226" ca="1">_xll.BDH(D226&amp;" Corp",$N226,$O$98)</f>
        <v>325.74900000000002</v>
      </c>
      <c r="P226" s="18" cm="1">
        <f t="array" aca="1" ref="P226" ca="1">_xll.BDH(E226&amp;" Corp",$N226,$O$98)</f>
        <v>413.34</v>
      </c>
      <c r="Q226" s="18">
        <f t="shared" ref="Q226" ca="1" si="180">IFERROR(P226-O226,"-")</f>
        <v>87.590999999999951</v>
      </c>
      <c r="R226" s="18">
        <f t="shared" ref="R226" ca="1" si="181">IFERROR(Q226/H226,"-")</f>
        <v>15.602553191489353</v>
      </c>
      <c r="S226" s="18">
        <f t="shared" ref="S226" ca="1" si="182">IFERROR(M226-R226,"-")</f>
        <v>12.469180965038532</v>
      </c>
      <c r="T226" s="18" cm="1">
        <f t="array" aca="1" ref="T226" ca="1">_xll.BDH(D226&amp;" Corp",$N226,$T$98)</f>
        <v>321.63299999999998</v>
      </c>
      <c r="U226" s="18" cm="1">
        <f t="array" aca="1" ref="U226" ca="1">_xll.BDH(E226&amp;" Corp",$N226,$T$98)</f>
        <v>380.029</v>
      </c>
      <c r="V226" s="18">
        <f t="shared" ref="V226" ca="1" si="183">IFERROR(U226-T226,"-")</f>
        <v>58.396000000000015</v>
      </c>
      <c r="W226" s="18">
        <f t="shared" ref="W226" ca="1" si="184">IFERROR(V226/H226,"-")</f>
        <v>10.402058386937162</v>
      </c>
      <c r="X226" s="18">
        <f t="shared" ref="X226" ca="1" si="185">IFERROR(M226-W226,"-")</f>
        <v>17.669675769590725</v>
      </c>
    </row>
    <row r="232" spans="1:24" x14ac:dyDescent="0.25">
      <c r="B232" s="5" t="s">
        <v>2</v>
      </c>
      <c r="C232" s="11" t="s">
        <v>428</v>
      </c>
    </row>
    <row r="233" spans="1:24" ht="11" x14ac:dyDescent="0.3">
      <c r="C233" s="4" t="s">
        <v>146</v>
      </c>
      <c r="D233" s="4" t="s">
        <v>147</v>
      </c>
    </row>
    <row r="234" spans="1:24" x14ac:dyDescent="0.25">
      <c r="C234" s="5" t="str" cm="1">
        <f t="array" ref="C234:C237">_xlfn._xlws.FILTER(bonds[unique lookup],(bonds[ticker]=C232)*(bonds[crncy]="eur"))</f>
        <v>SOLBBB 5.118 PERP nc-21</v>
      </c>
      <c r="D234" s="22" t="str" cm="1">
        <f t="array" ref="D234:D237">_xlfn.XLOOKUP(_xlfn.ANCHORARRAY(C234),bonds[unique lookup],bonds[ID_ISIN])</f>
        <v>XS1323897485</v>
      </c>
    </row>
    <row r="235" spans="1:24" x14ac:dyDescent="0.25">
      <c r="C235" s="5" t="str">
        <v>SOLBBB 5.425 PERP nc-23</v>
      </c>
      <c r="D235" s="22" t="str">
        <v>XS0992293901</v>
      </c>
    </row>
    <row r="236" spans="1:24" x14ac:dyDescent="0.25">
      <c r="C236" s="5" t="str">
        <v>SOLBBB 4 1/4 PERP nc-23</v>
      </c>
      <c r="D236" s="22" t="str">
        <v>BE6309987400</v>
      </c>
    </row>
    <row r="237" spans="1:24" x14ac:dyDescent="0.25">
      <c r="C237" s="5" t="str">
        <v>SOLBBB 5.869 PERP nc-24</v>
      </c>
      <c r="D237" s="22" t="str">
        <v>XS1323897725</v>
      </c>
    </row>
    <row r="238" spans="1:24" x14ac:dyDescent="0.25">
      <c r="D238" s="22"/>
    </row>
    <row r="239" spans="1:24" x14ac:dyDescent="0.25">
      <c r="D239" s="22"/>
    </row>
    <row r="240" spans="1:24" x14ac:dyDescent="0.25">
      <c r="D240" s="22"/>
    </row>
    <row r="241" spans="1:24" x14ac:dyDescent="0.25">
      <c r="A241" s="5" t="s">
        <v>161</v>
      </c>
      <c r="B241" s="11" t="str">
        <f>C234</f>
        <v>SOLBBB 5.118 PERP nc-21</v>
      </c>
      <c r="C241" s="11" t="str">
        <f>C235</f>
        <v>SOLBBB 5.425 PERP nc-23</v>
      </c>
      <c r="D241" s="22" t="str">
        <f>_xlfn.XLOOKUP(B241,bonds[unique lookup],bonds[ID_ISIN])</f>
        <v>XS1323897485</v>
      </c>
      <c r="E241" s="22" t="str">
        <f>_xlfn.XLOOKUP(C241,bonds[unique lookup],bonds[ID_ISIN])</f>
        <v>XS0992293901</v>
      </c>
      <c r="F241" s="25">
        <f>_xlfn.XLOOKUP(B241,bonds[unique lookup],bonds[nxt_call_dt])</f>
        <v>44349</v>
      </c>
      <c r="G241" s="25">
        <f>_xlfn.XLOOKUP(C241,bonds[unique lookup],bonds[nxt_call_dt])</f>
        <v>45242</v>
      </c>
      <c r="H241" s="17">
        <f t="shared" ref="H241:H243" si="186">YEARFRAC(F241,G241)</f>
        <v>2.4444444444444446</v>
      </c>
      <c r="I241" s="12" t="s">
        <v>35</v>
      </c>
      <c r="J241" s="18" cm="1">
        <f t="array" ref="J241">_xll.BDP(D241&amp;" Corp",$I241)</f>
        <v>329.34959167067552</v>
      </c>
      <c r="K241" s="18" cm="1">
        <f t="array" ref="K241">_xll.BDP(E241&amp;" Corp",$I241)</f>
        <v>300.37002358639518</v>
      </c>
      <c r="L241" s="18">
        <f t="shared" ref="L241:L243" si="187">K241-J241</f>
        <v>-28.979568084280345</v>
      </c>
      <c r="M241" s="18">
        <f t="shared" ref="M241:M243" si="188">IFERROR(L241/H241,"-")</f>
        <v>-11.855277852660141</v>
      </c>
      <c r="N241" s="12" t="s">
        <v>36</v>
      </c>
      <c r="O241" s="18" cm="1">
        <f t="array" aca="1" ref="O241" ca="1">_xll.BDH(D241&amp;" Corp",$N241,$O$98)</f>
        <v>342.93700000000001</v>
      </c>
      <c r="P241" s="18" cm="1">
        <f t="array" aca="1" ref="P241" ca="1">_xll.BDH(E241&amp;" Corp",$N241,$O$98)</f>
        <v>307.56900000000002</v>
      </c>
      <c r="Q241" s="18">
        <f t="shared" ref="Q241:Q243" ca="1" si="189">IFERROR(P241-O241,"-")</f>
        <v>-35.367999999999995</v>
      </c>
      <c r="R241" s="18">
        <f t="shared" ref="R241:R243" ca="1" si="190">IFERROR(Q241/H241,"-")</f>
        <v>-14.46872727272727</v>
      </c>
      <c r="S241" s="18">
        <f t="shared" ref="S241:S243" ca="1" si="191">IFERROR(M241-R241,"-")</f>
        <v>2.6134494200671288</v>
      </c>
      <c r="T241" s="18" cm="1">
        <f t="array" aca="1" ref="T241" ca="1">_xll.BDH(D241&amp;" Corp",$N241,$T$98)</f>
        <v>379.36099999999999</v>
      </c>
      <c r="U241" s="18" cm="1">
        <f t="array" aca="1" ref="U241" ca="1">_xll.BDH(E241&amp;" Corp",$N241,$T$98)</f>
        <v>373.57799999999997</v>
      </c>
      <c r="V241" s="18">
        <f t="shared" ref="V241:V243" ca="1" si="192">IFERROR(U241-T241,"-")</f>
        <v>-5.7830000000000155</v>
      </c>
      <c r="W241" s="18">
        <f t="shared" ref="W241:W243" ca="1" si="193">IFERROR(V241/H241,"-")</f>
        <v>-2.3657727272727334</v>
      </c>
      <c r="X241" s="18">
        <f t="shared" ref="X241:X243" ca="1" si="194">IFERROR(M241-W241,"-")</f>
        <v>-9.4895051253874065</v>
      </c>
    </row>
    <row r="242" spans="1:24" x14ac:dyDescent="0.25">
      <c r="A242" s="5" t="s">
        <v>161</v>
      </c>
      <c r="B242" s="11" t="str">
        <f>C235</f>
        <v>SOLBBB 5.425 PERP nc-23</v>
      </c>
      <c r="C242" s="11" t="str">
        <f>C236</f>
        <v>SOLBBB 4 1/4 PERP nc-23</v>
      </c>
      <c r="D242" s="22" t="str">
        <f>_xlfn.XLOOKUP(B242,bonds[unique lookup],bonds[ID_ISIN])</f>
        <v>XS0992293901</v>
      </c>
      <c r="E242" s="22" t="str">
        <f>_xlfn.XLOOKUP(C242,bonds[unique lookup],bonds[ID_ISIN])</f>
        <v>BE6309987400</v>
      </c>
      <c r="F242" s="25">
        <f>_xlfn.XLOOKUP(B242,bonds[unique lookup],bonds[nxt_call_dt])</f>
        <v>45242</v>
      </c>
      <c r="G242" s="25">
        <f>_xlfn.XLOOKUP(C242,bonds[unique lookup],bonds[nxt_call_dt])</f>
        <v>45264</v>
      </c>
      <c r="H242" s="17">
        <f t="shared" si="186"/>
        <v>6.1111111111111109E-2</v>
      </c>
      <c r="I242" s="12" t="s">
        <v>35</v>
      </c>
      <c r="J242" s="18" cm="1">
        <f t="array" ref="J242">_xll.BDP(D242&amp;" Corp",$I242)</f>
        <v>300.37002358639518</v>
      </c>
      <c r="K242" s="18" cm="1">
        <f t="array" ref="K242">_xll.BDP(E242&amp;" Corp",$I242)</f>
        <v>338.53522138602182</v>
      </c>
      <c r="L242" s="18">
        <f t="shared" si="187"/>
        <v>38.16519779962664</v>
      </c>
      <c r="M242" s="18">
        <f t="shared" si="188"/>
        <v>624.52141853934506</v>
      </c>
      <c r="N242" s="12" t="s">
        <v>36</v>
      </c>
      <c r="O242" s="18" cm="1">
        <f t="array" aca="1" ref="O242" ca="1">_xll.BDH(D242&amp;" Corp",$N242,$O$98)</f>
        <v>307.56900000000002</v>
      </c>
      <c r="P242" s="18" cm="1">
        <f t="array" aca="1" ref="P242" ca="1">_xll.BDH(E242&amp;" Corp",$N242,$O$98)</f>
        <v>347.851</v>
      </c>
      <c r="Q242" s="18">
        <f t="shared" ca="1" si="189"/>
        <v>40.281999999999982</v>
      </c>
      <c r="R242" s="18">
        <f t="shared" ca="1" si="190"/>
        <v>659.15999999999974</v>
      </c>
      <c r="S242" s="18">
        <f t="shared" ca="1" si="191"/>
        <v>-34.638581460654677</v>
      </c>
      <c r="T242" s="18" cm="1">
        <f t="array" aca="1" ref="T242" ca="1">_xll.BDH(D242&amp;" Corp",$N242,$T$98)</f>
        <v>373.57799999999997</v>
      </c>
      <c r="U242" s="18" cm="1">
        <f t="array" aca="1" ref="U242" ca="1">_xll.BDH(E242&amp;" Corp",$N242,$T$98)</f>
        <v>390.60599999999999</v>
      </c>
      <c r="V242" s="18">
        <f t="shared" ca="1" si="192"/>
        <v>17.02800000000002</v>
      </c>
      <c r="W242" s="18">
        <f t="shared" ca="1" si="193"/>
        <v>278.64000000000033</v>
      </c>
      <c r="X242" s="18">
        <f t="shared" ca="1" si="194"/>
        <v>345.88141853934474</v>
      </c>
    </row>
    <row r="243" spans="1:24" x14ac:dyDescent="0.25">
      <c r="A243" s="5" t="s">
        <v>161</v>
      </c>
      <c r="B243" s="11" t="str">
        <f>C236</f>
        <v>SOLBBB 4 1/4 PERP nc-23</v>
      </c>
      <c r="C243" s="11" t="str">
        <f>C237</f>
        <v>SOLBBB 5.869 PERP nc-24</v>
      </c>
      <c r="D243" s="22" t="str">
        <f>_xlfn.XLOOKUP(B243,bonds[unique lookup],bonds[ID_ISIN])</f>
        <v>BE6309987400</v>
      </c>
      <c r="E243" s="22" t="str">
        <f>_xlfn.XLOOKUP(C243,bonds[unique lookup],bonds[ID_ISIN])</f>
        <v>XS1323897725</v>
      </c>
      <c r="F243" s="25">
        <f>_xlfn.XLOOKUP(B243,bonds[unique lookup],bonds[nxt_call_dt])</f>
        <v>45264</v>
      </c>
      <c r="G243" s="25">
        <f>_xlfn.XLOOKUP(C243,bonds[unique lookup],bonds[nxt_call_dt])</f>
        <v>45446</v>
      </c>
      <c r="H243" s="17">
        <f t="shared" si="186"/>
        <v>0.49722222222222223</v>
      </c>
      <c r="I243" s="12" t="s">
        <v>35</v>
      </c>
      <c r="J243" s="18" cm="1">
        <f t="array" ref="J243">_xll.BDP(D243&amp;" Corp",$I243)</f>
        <v>338.53522138602182</v>
      </c>
      <c r="K243" s="18" cm="1">
        <f t="array" ref="K243">_xll.BDP(E243&amp;" Corp",$I243)</f>
        <v>341.90659672868861</v>
      </c>
      <c r="L243" s="18">
        <f t="shared" si="187"/>
        <v>3.3713753426667949</v>
      </c>
      <c r="M243" s="18">
        <f t="shared" si="188"/>
        <v>6.7804196835756771</v>
      </c>
      <c r="N243" s="12" t="s">
        <v>36</v>
      </c>
      <c r="O243" s="18" cm="1">
        <f t="array" aca="1" ref="O243" ca="1">_xll.BDH(D243&amp;" Corp",$N243,$O$98)</f>
        <v>347.851</v>
      </c>
      <c r="P243" s="18" cm="1">
        <f t="array" aca="1" ref="P243" ca="1">_xll.BDH(E243&amp;" Corp",$N243,$O$98)</f>
        <v>356.95499999999998</v>
      </c>
      <c r="Q243" s="18">
        <f t="shared" ca="1" si="189"/>
        <v>9.103999999999985</v>
      </c>
      <c r="R243" s="18">
        <f t="shared" ca="1" si="190"/>
        <v>18.30972067039103</v>
      </c>
      <c r="S243" s="18">
        <f t="shared" ca="1" si="191"/>
        <v>-11.529300986815354</v>
      </c>
      <c r="T243" s="18" cm="1">
        <f t="array" aca="1" ref="T243" ca="1">_xll.BDH(D243&amp;" Corp",$N243,$T$98)</f>
        <v>390.60599999999999</v>
      </c>
      <c r="U243" s="18" cm="1">
        <f t="array" aca="1" ref="U243" ca="1">_xll.BDH(E243&amp;" Corp",$N243,$T$98)</f>
        <v>402.637</v>
      </c>
      <c r="V243" s="18">
        <f t="shared" ca="1" si="192"/>
        <v>12.031000000000006</v>
      </c>
      <c r="W243" s="18">
        <f t="shared" ca="1" si="193"/>
        <v>24.196424581005598</v>
      </c>
      <c r="X243" s="18">
        <f t="shared" ca="1" si="194"/>
        <v>-17.416004897429922</v>
      </c>
    </row>
    <row r="245" spans="1:24" x14ac:dyDescent="0.25">
      <c r="G245" s="5" t="s">
        <v>162</v>
      </c>
      <c r="H245" s="17">
        <f>AVERAGE(H241:H243)</f>
        <v>1.000925925925926</v>
      </c>
      <c r="M245" s="18">
        <f>AVERAGE(M241:M243)</f>
        <v>206.48218679008687</v>
      </c>
      <c r="R245" s="18">
        <f ca="1">AVERAGE(R241:R243)</f>
        <v>221.00033113255449</v>
      </c>
      <c r="S245" s="18">
        <f ca="1">AVERAGE(S241:S243)</f>
        <v>-14.518144342467636</v>
      </c>
      <c r="W245" s="18">
        <f ca="1">AVERAGE(W241:W243)</f>
        <v>100.15688395124441</v>
      </c>
      <c r="X245" s="18">
        <f ca="1">AVERAGE(X241:X243)</f>
        <v>106.32530283884249</v>
      </c>
    </row>
    <row r="246" spans="1:24" x14ac:dyDescent="0.25">
      <c r="G246" s="5" t="s">
        <v>167</v>
      </c>
      <c r="H246" s="17">
        <f>_xlfn.STDEV.P(H241:H243)</f>
        <v>1.0361330385261236</v>
      </c>
      <c r="M246" s="18">
        <f>_xlfn.STDEV.P(M241:M243)</f>
        <v>295.69626507256623</v>
      </c>
      <c r="R246" s="18">
        <f ca="1">_xlfn.STDEV.P(R241:R243)</f>
        <v>310.11452532778043</v>
      </c>
      <c r="S246" s="18">
        <f ca="1">_xlfn.STDEV.P(S241:S243)</f>
        <v>15.354225034997866</v>
      </c>
      <c r="W246" s="18">
        <f ca="1">_xlfn.STDEV.P(W241:W243)</f>
        <v>126.67163486041703</v>
      </c>
      <c r="X246" s="18">
        <f ca="1">_xlfn.STDEV.P(X241:X243)</f>
        <v>169.42266038282949</v>
      </c>
    </row>
    <row r="249" spans="1:24" x14ac:dyDescent="0.25">
      <c r="A249" s="5" t="s">
        <v>164</v>
      </c>
      <c r="B249" s="11" t="str">
        <f>C234</f>
        <v>SOLBBB 5.118 PERP nc-21</v>
      </c>
      <c r="C249" s="11" t="str">
        <f>C237</f>
        <v>SOLBBB 5.869 PERP nc-24</v>
      </c>
      <c r="D249" s="22" t="str">
        <f>_xlfn.XLOOKUP(B249,bonds[unique lookup],bonds[ID_ISIN])</f>
        <v>XS1323897485</v>
      </c>
      <c r="E249" s="22" t="str">
        <f>_xlfn.XLOOKUP(C249,bonds[unique lookup],bonds[ID_ISIN])</f>
        <v>XS1323897725</v>
      </c>
      <c r="F249" s="25">
        <f>_xlfn.XLOOKUP(B249,bonds[unique lookup],bonds[nxt_call_dt])</f>
        <v>44349</v>
      </c>
      <c r="G249" s="25">
        <f>_xlfn.XLOOKUP(C249,bonds[unique lookup],bonds[nxt_call_dt])</f>
        <v>45446</v>
      </c>
      <c r="H249" s="17">
        <f t="shared" ref="H249" si="195">YEARFRAC(F249,G249)</f>
        <v>3.0027777777777778</v>
      </c>
      <c r="I249" s="12" t="s">
        <v>35</v>
      </c>
      <c r="J249" s="18" cm="1">
        <f t="array" ref="J249">_xll.BDP(D249&amp;" Corp",$I249)</f>
        <v>329.34959167067552</v>
      </c>
      <c r="K249" s="18" cm="1">
        <f t="array" ref="K249">_xll.BDP(E249&amp;" Corp",$I249)</f>
        <v>341.90659672868861</v>
      </c>
      <c r="L249" s="18">
        <f t="shared" ref="L249" si="196">K249-J249</f>
        <v>12.55700505801309</v>
      </c>
      <c r="M249" s="18">
        <f t="shared" ref="M249" si="197">L249/H249</f>
        <v>4.1817963190422871</v>
      </c>
      <c r="N249" s="12" t="s">
        <v>36</v>
      </c>
      <c r="O249" s="18" cm="1">
        <f t="array" aca="1" ref="O249" ca="1">_xll.BDH(D249&amp;" Corp",$N249,$O$98)</f>
        <v>342.93700000000001</v>
      </c>
      <c r="P249" s="18" cm="1">
        <f t="array" aca="1" ref="P249" ca="1">_xll.BDH(E249&amp;" Corp",$N249,$O$98)</f>
        <v>356.95499999999998</v>
      </c>
      <c r="Q249" s="18">
        <f t="shared" ref="Q249" ca="1" si="198">IFERROR(P249-O249,"-")</f>
        <v>14.017999999999972</v>
      </c>
      <c r="R249" s="18">
        <f t="shared" ref="R249" ca="1" si="199">IFERROR(Q249/H249,"-")</f>
        <v>4.6683441258094263</v>
      </c>
      <c r="S249" s="18">
        <f t="shared" ref="S249" ca="1" si="200">IFERROR(M249-R249,"-")</f>
        <v>-0.48654780676713916</v>
      </c>
      <c r="T249" s="18" cm="1">
        <f t="array" aca="1" ref="T249" ca="1">_xll.BDH(D249&amp;" Corp",$N249,$T$98)</f>
        <v>379.36099999999999</v>
      </c>
      <c r="U249" s="18" cm="1">
        <f t="array" aca="1" ref="U249" ca="1">_xll.BDH(E249&amp;" Corp",$N249,$T$98)</f>
        <v>402.637</v>
      </c>
      <c r="V249" s="18">
        <f t="shared" ref="V249" ca="1" si="201">IFERROR(U249-T249,"-")</f>
        <v>23.27600000000001</v>
      </c>
      <c r="W249" s="18">
        <f t="shared" ref="W249" ca="1" si="202">IFERROR(V249/H249,"-")</f>
        <v>7.7514893617021308</v>
      </c>
      <c r="X249" s="18">
        <f t="shared" ref="X249" ca="1" si="203">IFERROR(M249-W249,"-")</f>
        <v>-3.5696930426598437</v>
      </c>
    </row>
    <row r="255" spans="1:24" x14ac:dyDescent="0.25">
      <c r="B255" s="5" t="s">
        <v>2</v>
      </c>
      <c r="C255" s="11" t="s">
        <v>427</v>
      </c>
    </row>
    <row r="256" spans="1:24" ht="11" x14ac:dyDescent="0.3">
      <c r="C256" s="4" t="s">
        <v>146</v>
      </c>
      <c r="D256" s="4" t="s">
        <v>147</v>
      </c>
    </row>
    <row r="257" spans="1:24" x14ac:dyDescent="0.25">
      <c r="C257" s="5" t="str" cm="1">
        <f t="array" ref="C257:C260">_xlfn._xlws.FILTER(bonds[unique lookup],(bonds[ticker]=C255)*(bonds[crncy]="eur"))</f>
        <v>BAYNGR 2 3/8 04/02/75 nc-22</v>
      </c>
      <c r="D257" s="22" t="str" cm="1">
        <f t="array" ref="D257:D260">_xlfn.XLOOKUP(_xlfn.ANCHORARRAY(C257),bonds[unique lookup],bonds[ID_ISIN])</f>
        <v>DE000A14J611</v>
      </c>
    </row>
    <row r="258" spans="1:24" x14ac:dyDescent="0.25">
      <c r="C258" s="5" t="str">
        <v>BAYNGR 3 3/4 07/01/74 nc-24</v>
      </c>
      <c r="D258" s="22" t="str">
        <v>DE000A11QR73</v>
      </c>
    </row>
    <row r="259" spans="1:24" x14ac:dyDescent="0.25">
      <c r="C259" s="5" t="str">
        <v>BAYNGR 2 3/8 11/12/79 nc-25</v>
      </c>
      <c r="D259" s="22" t="str">
        <v>XS2077670003</v>
      </c>
    </row>
    <row r="260" spans="1:24" x14ac:dyDescent="0.25">
      <c r="C260" s="5" t="str">
        <v>BAYNGR 3 1/8 11/12/79 nc-27</v>
      </c>
      <c r="D260" s="22" t="str">
        <v>XS2077670342</v>
      </c>
    </row>
    <row r="261" spans="1:24" x14ac:dyDescent="0.25">
      <c r="D261" s="22"/>
    </row>
    <row r="262" spans="1:24" x14ac:dyDescent="0.25">
      <c r="D262" s="22"/>
    </row>
    <row r="263" spans="1:24" x14ac:dyDescent="0.25">
      <c r="D263" s="22"/>
    </row>
    <row r="264" spans="1:24" x14ac:dyDescent="0.25">
      <c r="A264" s="5" t="s">
        <v>161</v>
      </c>
      <c r="B264" s="11" t="str">
        <f>C257</f>
        <v>BAYNGR 2 3/8 04/02/75 nc-22</v>
      </c>
      <c r="C264" s="11" t="str">
        <f>C258</f>
        <v>BAYNGR 3 3/4 07/01/74 nc-24</v>
      </c>
      <c r="D264" s="22" t="str">
        <f>_xlfn.XLOOKUP(B264,bonds[unique lookup],bonds[ID_ISIN])</f>
        <v>DE000A14J611</v>
      </c>
      <c r="E264" s="22" t="str">
        <f>_xlfn.XLOOKUP(C264,bonds[unique lookup],bonds[ID_ISIN])</f>
        <v>DE000A11QR73</v>
      </c>
      <c r="F264" s="25">
        <f>_xlfn.XLOOKUP(B264,bonds[unique lookup],bonds[nxt_call_dt])</f>
        <v>44836</v>
      </c>
      <c r="G264" s="25">
        <f>_xlfn.XLOOKUP(C264,bonds[unique lookup],bonds[nxt_call_dt])</f>
        <v>45474</v>
      </c>
      <c r="H264" s="17">
        <f t="shared" ref="H264:H266" si="204">YEARFRAC(F264,G264)</f>
        <v>1.7472222222222222</v>
      </c>
      <c r="I264" s="12" t="s">
        <v>35</v>
      </c>
      <c r="J264" s="18" cm="1">
        <f t="array" ref="J264">_xll.BDP(D264&amp;" Corp",$I264)</f>
        <v>279.15031872670374</v>
      </c>
      <c r="K264" s="18" cm="1">
        <f t="array" ref="K264">_xll.BDP(E264&amp;" Corp",$I264)</f>
        <v>297.92803836907791</v>
      </c>
      <c r="L264" s="18">
        <f t="shared" ref="L264:L266" si="205">K264-J264</f>
        <v>18.777719642374166</v>
      </c>
      <c r="M264" s="18">
        <f t="shared" ref="M264:M266" si="206">IFERROR(L264/H264,"-")</f>
        <v>10.747184532996343</v>
      </c>
      <c r="N264" s="12" t="s">
        <v>36</v>
      </c>
      <c r="O264" s="18" cm="1">
        <f t="array" aca="1" ref="O264" ca="1">_xll.BDH(D264&amp;" Corp",$N264,$O$98)</f>
        <v>297.02800000000002</v>
      </c>
      <c r="P264" s="18" cm="1">
        <f t="array" aca="1" ref="P264" ca="1">_xll.BDH(E264&amp;" Corp",$N264,$O$98)</f>
        <v>297.49</v>
      </c>
      <c r="Q264" s="18">
        <f t="shared" ref="Q264:Q266" ca="1" si="207">IFERROR(P264-O264,"-")</f>
        <v>0.46199999999998909</v>
      </c>
      <c r="R264" s="18">
        <f t="shared" ref="R264:R266" ca="1" si="208">IFERROR(Q264/H264,"-")</f>
        <v>0.26441971383147228</v>
      </c>
      <c r="S264" s="18">
        <f t="shared" ref="S264:S266" ca="1" si="209">IFERROR(M264-R264,"-")</f>
        <v>10.482764819164871</v>
      </c>
      <c r="T264" s="18" cm="1">
        <f t="array" aca="1" ref="T264" ca="1">_xll.BDH(D264&amp;" Corp",$N264,$T$98)</f>
        <v>257.02100000000002</v>
      </c>
      <c r="U264" s="18" cm="1">
        <f t="array" aca="1" ref="U264" ca="1">_xll.BDH(E264&amp;" Corp",$N264,$T$98)</f>
        <v>280.88499999999999</v>
      </c>
      <c r="V264" s="18">
        <f t="shared" ref="V264:V266" ca="1" si="210">IFERROR(U264-T264,"-")</f>
        <v>23.863999999999976</v>
      </c>
      <c r="W264" s="18">
        <f t="shared" ref="W264:W266" ca="1" si="211">IFERROR(V264/H264,"-")</f>
        <v>13.658251192368825</v>
      </c>
      <c r="X264" s="18">
        <f t="shared" ref="X264:X266" ca="1" si="212">IFERROR(M264-W264,"-")</f>
        <v>-2.9110666593724819</v>
      </c>
    </row>
    <row r="265" spans="1:24" x14ac:dyDescent="0.25">
      <c r="A265" s="5" t="s">
        <v>161</v>
      </c>
      <c r="B265" s="11" t="str">
        <f>C258</f>
        <v>BAYNGR 3 3/4 07/01/74 nc-24</v>
      </c>
      <c r="C265" s="11" t="str">
        <f>C259</f>
        <v>BAYNGR 2 3/8 11/12/79 nc-25</v>
      </c>
      <c r="D265" s="22" t="str">
        <f>_xlfn.XLOOKUP(B265,bonds[unique lookup],bonds[ID_ISIN])</f>
        <v>DE000A11QR73</v>
      </c>
      <c r="E265" s="22" t="str">
        <f>_xlfn.XLOOKUP(C265,bonds[unique lookup],bonds[ID_ISIN])</f>
        <v>XS2077670003</v>
      </c>
      <c r="F265" s="25">
        <f>_xlfn.XLOOKUP(B265,bonds[unique lookup],bonds[nxt_call_dt])</f>
        <v>45474</v>
      </c>
      <c r="G265" s="25">
        <f>_xlfn.XLOOKUP(C265,bonds[unique lookup],bonds[nxt_call_dt])</f>
        <v>45700</v>
      </c>
      <c r="H265" s="17">
        <f t="shared" si="204"/>
        <v>0.61388888888888893</v>
      </c>
      <c r="I265" s="12" t="s">
        <v>35</v>
      </c>
      <c r="J265" s="18" cm="1">
        <f t="array" ref="J265">_xll.BDP(D265&amp;" Corp",$I265)</f>
        <v>297.92803836907791</v>
      </c>
      <c r="K265" s="18" cm="1">
        <f t="array" ref="K265">_xll.BDP(E265&amp;" Corp",$I265)</f>
        <v>318.4633970262546</v>
      </c>
      <c r="L265" s="18">
        <f t="shared" si="205"/>
        <v>20.535358657176687</v>
      </c>
      <c r="M265" s="18">
        <f t="shared" si="206"/>
        <v>33.451262970966546</v>
      </c>
      <c r="N265" s="12" t="s">
        <v>36</v>
      </c>
      <c r="O265" s="18" cm="1">
        <f t="array" aca="1" ref="O265" ca="1">_xll.BDH(D265&amp;" Corp",$N265,$O$98)</f>
        <v>297.49</v>
      </c>
      <c r="P265" s="18" cm="1">
        <f t="array" aca="1" ref="P265" ca="1">_xll.BDH(E265&amp;" Corp",$N265,$O$98)</f>
        <v>315.07900000000001</v>
      </c>
      <c r="Q265" s="18">
        <f t="shared" ca="1" si="207"/>
        <v>17.588999999999999</v>
      </c>
      <c r="R265" s="18">
        <f t="shared" ca="1" si="208"/>
        <v>28.65176470588235</v>
      </c>
      <c r="S265" s="18">
        <f t="shared" ca="1" si="209"/>
        <v>4.7994982650841962</v>
      </c>
      <c r="T265" s="18" cm="1">
        <f t="array" aca="1" ref="T265" ca="1">_xll.BDH(D265&amp;" Corp",$N265,$T$98)</f>
        <v>280.88499999999999</v>
      </c>
      <c r="U265" s="18" cm="1">
        <f t="array" aca="1" ref="U265" ca="1">_xll.BDH(E265&amp;" Corp",$N265,$T$98)</f>
        <v>312.04899999999998</v>
      </c>
      <c r="V265" s="18">
        <f t="shared" ca="1" si="210"/>
        <v>31.163999999999987</v>
      </c>
      <c r="W265" s="18">
        <f t="shared" ca="1" si="211"/>
        <v>50.764886877828033</v>
      </c>
      <c r="X265" s="18">
        <f t="shared" ca="1" si="212"/>
        <v>-17.313623906861487</v>
      </c>
    </row>
    <row r="266" spans="1:24" x14ac:dyDescent="0.25">
      <c r="A266" s="5" t="s">
        <v>161</v>
      </c>
      <c r="B266" s="11" t="str">
        <f>C259</f>
        <v>BAYNGR 2 3/8 11/12/79 nc-25</v>
      </c>
      <c r="C266" s="11" t="str">
        <f>C260</f>
        <v>BAYNGR 3 1/8 11/12/79 nc-27</v>
      </c>
      <c r="D266" s="22" t="str">
        <f>_xlfn.XLOOKUP(B266,bonds[unique lookup],bonds[ID_ISIN])</f>
        <v>XS2077670003</v>
      </c>
      <c r="E266" s="22" t="str">
        <f>_xlfn.XLOOKUP(C266,bonds[unique lookup],bonds[ID_ISIN])</f>
        <v>XS2077670342</v>
      </c>
      <c r="F266" s="25">
        <f>_xlfn.XLOOKUP(B266,bonds[unique lookup],bonds[nxt_call_dt])</f>
        <v>45700</v>
      </c>
      <c r="G266" s="25">
        <f>_xlfn.XLOOKUP(C266,bonds[unique lookup],bonds[nxt_call_dt])</f>
        <v>46611</v>
      </c>
      <c r="H266" s="17">
        <f t="shared" si="204"/>
        <v>2.5</v>
      </c>
      <c r="I266" s="12" t="s">
        <v>35</v>
      </c>
      <c r="J266" s="18" cm="1">
        <f t="array" ref="J266">_xll.BDP(D266&amp;" Corp",$I266)</f>
        <v>318.4633970262546</v>
      </c>
      <c r="K266" s="18" cm="1">
        <f t="array" ref="K266">_xll.BDP(E266&amp;" Corp",$I266)</f>
        <v>338.55858698132403</v>
      </c>
      <c r="L266" s="18">
        <f t="shared" si="205"/>
        <v>20.095189955069429</v>
      </c>
      <c r="M266" s="18">
        <f t="shared" si="206"/>
        <v>8.0380759820277721</v>
      </c>
      <c r="N266" s="12" t="s">
        <v>36</v>
      </c>
      <c r="O266" s="18" cm="1">
        <f t="array" aca="1" ref="O266" ca="1">_xll.BDH(D266&amp;" Corp",$N266,$O$98)</f>
        <v>315.07900000000001</v>
      </c>
      <c r="P266" s="18" cm="1">
        <f t="array" aca="1" ref="P266" ca="1">_xll.BDH(E266&amp;" Corp",$N266,$O$98)</f>
        <v>338.40300000000002</v>
      </c>
      <c r="Q266" s="18">
        <f t="shared" ca="1" si="207"/>
        <v>23.324000000000012</v>
      </c>
      <c r="R266" s="18">
        <f t="shared" ca="1" si="208"/>
        <v>9.3296000000000046</v>
      </c>
      <c r="S266" s="18">
        <f t="shared" ca="1" si="209"/>
        <v>-1.2915240179722325</v>
      </c>
      <c r="T266" s="18" cm="1">
        <f t="array" aca="1" ref="T266" ca="1">_xll.BDH(D266&amp;" Corp",$N266,$T$98)</f>
        <v>312.04899999999998</v>
      </c>
      <c r="U266" s="18" cm="1">
        <f t="array" aca="1" ref="U266" ca="1">_xll.BDH(E266&amp;" Corp",$N266,$T$98)</f>
        <v>337.90699999999998</v>
      </c>
      <c r="V266" s="18">
        <f t="shared" ca="1" si="210"/>
        <v>25.858000000000004</v>
      </c>
      <c r="W266" s="18">
        <f t="shared" ca="1" si="211"/>
        <v>10.343200000000001</v>
      </c>
      <c r="X266" s="18">
        <f t="shared" ca="1" si="212"/>
        <v>-2.3051240179722292</v>
      </c>
    </row>
    <row r="268" spans="1:24" x14ac:dyDescent="0.25">
      <c r="G268" s="5" t="s">
        <v>162</v>
      </c>
      <c r="H268" s="17">
        <f>AVERAGE(H264:H266)</f>
        <v>1.6203703703703702</v>
      </c>
      <c r="M268" s="18">
        <f>AVERAGE(M264:M266)</f>
        <v>17.41217449533022</v>
      </c>
      <c r="R268" s="18">
        <f ca="1">AVERAGE(R264:R266)</f>
        <v>12.748594806571276</v>
      </c>
      <c r="S268" s="18">
        <f ca="1">AVERAGE(S264:S266)</f>
        <v>4.6635796887589445</v>
      </c>
      <c r="W268" s="18">
        <f ca="1">AVERAGE(W264:W266)</f>
        <v>24.922112690065617</v>
      </c>
      <c r="X268" s="18">
        <f ca="1">AVERAGE(X264:X266)</f>
        <v>-7.5099381947353985</v>
      </c>
    </row>
    <row r="269" spans="1:24" x14ac:dyDescent="0.25">
      <c r="G269" s="5" t="s">
        <v>167</v>
      </c>
      <c r="H269" s="17">
        <f>_xlfn.STDEV.P(H264:H266)</f>
        <v>0.77520849887965915</v>
      </c>
      <c r="M269" s="18">
        <f>_xlfn.STDEV.P(M264:M266)</f>
        <v>11.39514769926803</v>
      </c>
      <c r="R269" s="18">
        <f ca="1">_xlfn.STDEV.P(R264:R266)</f>
        <v>11.838566440239571</v>
      </c>
      <c r="S269" s="18">
        <f ca="1">_xlfn.STDEV.P(S264:S266)</f>
        <v>4.8077940055445776</v>
      </c>
      <c r="W269" s="18">
        <f ca="1">_xlfn.STDEV.P(W264:W266)</f>
        <v>18.323648188279645</v>
      </c>
      <c r="X269" s="18">
        <f ca="1">_xlfn.STDEV.P(X264:X266)</f>
        <v>6.936664990121967</v>
      </c>
    </row>
    <row r="272" spans="1:24" x14ac:dyDescent="0.25">
      <c r="A272" s="5" t="s">
        <v>164</v>
      </c>
      <c r="B272" s="11" t="str">
        <f>C257</f>
        <v>BAYNGR 2 3/8 04/02/75 nc-22</v>
      </c>
      <c r="C272" s="11" t="str">
        <f>C260</f>
        <v>BAYNGR 3 1/8 11/12/79 nc-27</v>
      </c>
      <c r="D272" s="22" t="str">
        <f>_xlfn.XLOOKUP(B272,bonds[unique lookup],bonds[ID_ISIN])</f>
        <v>DE000A14J611</v>
      </c>
      <c r="E272" s="22" t="str">
        <f>_xlfn.XLOOKUP(C272,bonds[unique lookup],bonds[ID_ISIN])</f>
        <v>XS2077670342</v>
      </c>
      <c r="F272" s="25">
        <f>_xlfn.XLOOKUP(B272,bonds[unique lookup],bonds[nxt_call_dt])</f>
        <v>44836</v>
      </c>
      <c r="G272" s="25">
        <f>_xlfn.XLOOKUP(C272,bonds[unique lookup],bonds[nxt_call_dt])</f>
        <v>46611</v>
      </c>
      <c r="H272" s="17">
        <f t="shared" ref="H272" si="213">YEARFRAC(F272,G272)</f>
        <v>4.8611111111111107</v>
      </c>
      <c r="I272" s="12" t="s">
        <v>35</v>
      </c>
      <c r="J272" s="18" cm="1">
        <f t="array" ref="J272">_xll.BDP(D272&amp;" Corp",$I272)</f>
        <v>279.15031872670374</v>
      </c>
      <c r="K272" s="18" cm="1">
        <f t="array" ref="K272">_xll.BDP(E272&amp;" Corp",$I272)</f>
        <v>338.55858698132403</v>
      </c>
      <c r="L272" s="18">
        <f t="shared" ref="L272" si="214">K272-J272</f>
        <v>59.408268254620282</v>
      </c>
      <c r="M272" s="18">
        <f t="shared" ref="M272" si="215">L272/H272</f>
        <v>12.221129469521888</v>
      </c>
      <c r="N272" s="12" t="s">
        <v>36</v>
      </c>
      <c r="O272" s="18" cm="1">
        <f t="array" aca="1" ref="O272" ca="1">_xll.BDH(D272&amp;" Corp",$N272,$O$98)</f>
        <v>297.02800000000002</v>
      </c>
      <c r="P272" s="18" cm="1">
        <f t="array" aca="1" ref="P272" ca="1">_xll.BDH(E272&amp;" Corp",$N272,$O$98)</f>
        <v>338.40300000000002</v>
      </c>
      <c r="Q272" s="18">
        <f t="shared" ref="Q272" ca="1" si="216">IFERROR(P272-O272,"-")</f>
        <v>41.375</v>
      </c>
      <c r="R272" s="18">
        <f t="shared" ref="R272" ca="1" si="217">IFERROR(Q272/H272,"-")</f>
        <v>8.5114285714285725</v>
      </c>
      <c r="S272" s="18">
        <f t="shared" ref="S272" ca="1" si="218">IFERROR(M272-R272,"-")</f>
        <v>3.709700898093315</v>
      </c>
      <c r="T272" s="18" cm="1">
        <f t="array" aca="1" ref="T272" ca="1">_xll.BDH(D272&amp;" Corp",$N272,$T$98)</f>
        <v>257.02100000000002</v>
      </c>
      <c r="U272" s="18" cm="1">
        <f t="array" aca="1" ref="U272" ca="1">_xll.BDH(E272&amp;" Corp",$N272,$T$98)</f>
        <v>337.90699999999998</v>
      </c>
      <c r="V272" s="18">
        <f t="shared" ref="V272" ca="1" si="219">IFERROR(U272-T272,"-")</f>
        <v>80.885999999999967</v>
      </c>
      <c r="W272" s="18">
        <f t="shared" ref="W272" ca="1" si="220">IFERROR(V272/H272,"-")</f>
        <v>16.639405714285708</v>
      </c>
      <c r="X272" s="18">
        <f t="shared" ref="X272" ca="1" si="221">IFERROR(M272-W272,"-")</f>
        <v>-4.4182762447638204</v>
      </c>
    </row>
    <row r="279" spans="1:24" x14ac:dyDescent="0.25">
      <c r="B279" s="5" t="s">
        <v>2</v>
      </c>
      <c r="C279" s="11" t="s">
        <v>429</v>
      </c>
    </row>
    <row r="280" spans="1:24" ht="11" x14ac:dyDescent="0.3">
      <c r="C280" s="4" t="s">
        <v>146</v>
      </c>
      <c r="D280" s="4" t="s">
        <v>147</v>
      </c>
    </row>
    <row r="281" spans="1:24" x14ac:dyDescent="0.25">
      <c r="C281" s="5" t="str" cm="1">
        <f t="array" ref="C281:C284">_xlfn._xlws.FILTER(bonds[unique lookup],(bonds[ticker]=C279)*(bonds[crncy]="eur"))</f>
        <v>MRKGR 2 5/8 12/12/74 nc-21</v>
      </c>
      <c r="D281" s="22" t="str" cm="1">
        <f t="array" ref="D281:D284">_xlfn.XLOOKUP(_xlfn.ANCHORARRAY(C281),bonds[unique lookup],bonds[ID_ISIN])</f>
        <v>XS1152338072</v>
      </c>
    </row>
    <row r="282" spans="1:24" x14ac:dyDescent="0.25">
      <c r="C282" s="5" t="str">
        <v>MRKGR 3 3/8 12/12/74 nc-24</v>
      </c>
      <c r="D282" s="22" t="str">
        <v>XS1152343668</v>
      </c>
    </row>
    <row r="283" spans="1:24" x14ac:dyDescent="0.25">
      <c r="C283" s="5" t="str">
        <v>MRKGR 1 5/8 06/25/79 nc-24</v>
      </c>
      <c r="D283" s="22" t="str">
        <v>XS2011260531</v>
      </c>
    </row>
    <row r="284" spans="1:24" x14ac:dyDescent="0.25">
      <c r="C284" s="5" t="str">
        <v>MRKGR 2 7/8 06/25/79 nc-29</v>
      </c>
      <c r="D284" s="22" t="str">
        <v>XS2011260705</v>
      </c>
    </row>
    <row r="285" spans="1:24" x14ac:dyDescent="0.25">
      <c r="D285" s="22"/>
    </row>
    <row r="286" spans="1:24" x14ac:dyDescent="0.25">
      <c r="D286" s="22"/>
    </row>
    <row r="287" spans="1:24" x14ac:dyDescent="0.25">
      <c r="D287" s="22"/>
    </row>
    <row r="288" spans="1:24" x14ac:dyDescent="0.25">
      <c r="A288" s="5" t="s">
        <v>161</v>
      </c>
      <c r="B288" s="11" t="str">
        <f>C281</f>
        <v>MRKGR 2 5/8 12/12/74 nc-21</v>
      </c>
      <c r="C288" s="11" t="str">
        <f>C282</f>
        <v>MRKGR 3 3/8 12/12/74 nc-24</v>
      </c>
      <c r="D288" s="22" t="str">
        <f>_xlfn.XLOOKUP(B288,bonds[unique lookup],bonds[ID_ISIN])</f>
        <v>XS1152338072</v>
      </c>
      <c r="E288" s="22" t="str">
        <f>_xlfn.XLOOKUP(C288,bonds[unique lookup],bonds[ID_ISIN])</f>
        <v>XS1152343668</v>
      </c>
      <c r="F288" s="25">
        <f>_xlfn.XLOOKUP(B288,bonds[unique lookup],bonds[nxt_call_dt])</f>
        <v>44359</v>
      </c>
      <c r="G288" s="25">
        <f>_xlfn.XLOOKUP(C288,bonds[unique lookup],bonds[nxt_call_dt])</f>
        <v>45638</v>
      </c>
      <c r="H288" s="17">
        <f t="shared" ref="H288:H290" si="222">YEARFRAC(F288,G288)</f>
        <v>3.5</v>
      </c>
      <c r="I288" s="12" t="s">
        <v>35</v>
      </c>
      <c r="J288" s="18" cm="1">
        <f t="array" ref="J288">_xll.BDP(D288&amp;" Corp",$I288)</f>
        <v>227.115512284402</v>
      </c>
      <c r="K288" s="18" cm="1">
        <f t="array" ref="K288">_xll.BDP(E288&amp;" Corp",$I288)</f>
        <v>183.183931695458</v>
      </c>
      <c r="L288" s="18">
        <f t="shared" ref="L288:L290" si="223">K288-J288</f>
        <v>-43.931580588944001</v>
      </c>
      <c r="M288" s="18">
        <f t="shared" ref="M288:M290" si="224">IFERROR(L288/H288,"-")</f>
        <v>-12.551880168269715</v>
      </c>
      <c r="N288" s="12" t="s">
        <v>36</v>
      </c>
      <c r="O288" s="18" cm="1">
        <f t="array" aca="1" ref="O288" ca="1">_xll.BDH(D288&amp;" Corp",$N288,$O$98)</f>
        <v>198.14699999999999</v>
      </c>
      <c r="P288" s="18" cm="1">
        <f t="array" aca="1" ref="P288" ca="1">_xll.BDH(E288&amp;" Corp",$N288,$O$98)</f>
        <v>180.386</v>
      </c>
      <c r="Q288" s="18">
        <f t="shared" ref="Q288:Q290" ca="1" si="225">IFERROR(P288-O288,"-")</f>
        <v>-17.760999999999996</v>
      </c>
      <c r="R288" s="18">
        <f t="shared" ref="R288:R290" ca="1" si="226">IFERROR(Q288/H288,"-")</f>
        <v>-5.074571428571427</v>
      </c>
      <c r="S288" s="18">
        <f t="shared" ref="S288:S289" ca="1" si="227">IFERROR(M288-R288,"-")</f>
        <v>-7.4773087396982882</v>
      </c>
      <c r="T288" s="18" cm="1">
        <f t="array" aca="1" ref="T288" ca="1">_xll.BDH(D288&amp;" Corp",$N288,$T$98)</f>
        <v>140.654</v>
      </c>
      <c r="U288" s="18" cm="1">
        <f t="array" aca="1" ref="U288" ca="1">_xll.BDH(E288&amp;" Corp",$N288,$T$98)</f>
        <v>167.322</v>
      </c>
      <c r="V288" s="18">
        <f t="shared" ref="V288:V290" ca="1" si="228">IFERROR(U288-T288,"-")</f>
        <v>26.668000000000006</v>
      </c>
      <c r="W288" s="18">
        <f t="shared" ref="W288:W290" ca="1" si="229">IFERROR(V288/H288,"-")</f>
        <v>7.619428571428573</v>
      </c>
      <c r="X288" s="18">
        <f t="shared" ref="X288:X290" ca="1" si="230">IFERROR(M288-W288,"-")</f>
        <v>-20.17130873969829</v>
      </c>
    </row>
    <row r="289" spans="1:24" x14ac:dyDescent="0.25">
      <c r="A289" s="5" t="s">
        <v>161</v>
      </c>
      <c r="B289" s="11" t="str">
        <f>C282</f>
        <v>MRKGR 3 3/8 12/12/74 nc-24</v>
      </c>
      <c r="C289" s="11" t="str">
        <f>C283</f>
        <v>MRKGR 1 5/8 06/25/79 nc-24</v>
      </c>
      <c r="D289" s="22" t="str">
        <f>_xlfn.XLOOKUP(B289,bonds[unique lookup],bonds[ID_ISIN])</f>
        <v>XS1152343668</v>
      </c>
      <c r="E289" s="22" t="str">
        <f>_xlfn.XLOOKUP(C289,bonds[unique lookup],bonds[ID_ISIN])</f>
        <v>XS2011260531</v>
      </c>
      <c r="F289" s="25">
        <f>_xlfn.XLOOKUP(B289,bonds[unique lookup],bonds[nxt_call_dt])</f>
        <v>45638</v>
      </c>
      <c r="G289" s="25">
        <f>_xlfn.XLOOKUP(C289,bonds[unique lookup],bonds[nxt_call_dt])</f>
        <v>45553</v>
      </c>
      <c r="H289" s="17">
        <f t="shared" si="222"/>
        <v>0.23333333333333334</v>
      </c>
      <c r="I289" s="12" t="s">
        <v>35</v>
      </c>
      <c r="J289" s="18" cm="1">
        <f t="array" ref="J289">_xll.BDP(D289&amp;" Corp",$I289)</f>
        <v>183.183931695458</v>
      </c>
      <c r="K289" s="18" cm="1">
        <f t="array" ref="K289">_xll.BDP(E289&amp;" Corp",$I289)</f>
        <v>194.08227869092465</v>
      </c>
      <c r="L289" s="18">
        <f t="shared" si="223"/>
        <v>10.898346995466653</v>
      </c>
      <c r="M289" s="18">
        <f t="shared" si="224"/>
        <v>46.707201409142797</v>
      </c>
      <c r="N289" s="12" t="s">
        <v>36</v>
      </c>
      <c r="O289" s="18" cm="1">
        <f t="array" aca="1" ref="O289" ca="1">_xll.BDH(D289&amp;" Corp",$N289,$O$98)</f>
        <v>180.386</v>
      </c>
      <c r="P289" s="18" cm="1">
        <f t="array" aca="1" ref="P289" ca="1">_xll.BDH(E289&amp;" Corp",$N289,$O$98)</f>
        <v>201.98400000000001</v>
      </c>
      <c r="Q289" s="18">
        <f t="shared" ca="1" si="225"/>
        <v>21.598000000000013</v>
      </c>
      <c r="R289" s="18">
        <f t="shared" ca="1" si="226"/>
        <v>92.562857142857197</v>
      </c>
      <c r="S289" s="18">
        <f t="shared" ca="1" si="227"/>
        <v>-45.8556557337144</v>
      </c>
      <c r="T289" s="18" cm="1">
        <f t="array" aca="1" ref="T289" ca="1">_xll.BDH(D289&amp;" Corp",$N289,$T$98)</f>
        <v>167.322</v>
      </c>
      <c r="U289" s="18" cm="1">
        <f t="array" aca="1" ref="U289" ca="1">_xll.BDH(E289&amp;" Corp",$N289,$T$98)</f>
        <v>192.81800000000001</v>
      </c>
      <c r="V289" s="18">
        <f t="shared" ca="1" si="228"/>
        <v>25.496000000000009</v>
      </c>
      <c r="W289" s="18">
        <f t="shared" ca="1" si="229"/>
        <v>109.26857142857146</v>
      </c>
      <c r="X289" s="18">
        <f t="shared" ca="1" si="230"/>
        <v>-62.561370019428665</v>
      </c>
    </row>
    <row r="290" spans="1:24" x14ac:dyDescent="0.25">
      <c r="A290" s="5" t="s">
        <v>161</v>
      </c>
      <c r="B290" s="11" t="str">
        <f>C283</f>
        <v>MRKGR 1 5/8 06/25/79 nc-24</v>
      </c>
      <c r="C290" s="11" t="str">
        <f>C284</f>
        <v>MRKGR 2 7/8 06/25/79 nc-29</v>
      </c>
      <c r="D290" s="22" t="str">
        <f>_xlfn.XLOOKUP(B290,bonds[unique lookup],bonds[ID_ISIN])</f>
        <v>XS2011260531</v>
      </c>
      <c r="E290" s="22" t="str">
        <f>_xlfn.XLOOKUP(C290,bonds[unique lookup],bonds[ID_ISIN])</f>
        <v>XS2011260705</v>
      </c>
      <c r="F290" s="25">
        <f>_xlfn.XLOOKUP(B290,bonds[unique lookup],bonds[nxt_call_dt])</f>
        <v>45553</v>
      </c>
      <c r="G290" s="25">
        <f>_xlfn.XLOOKUP(C290,bonds[unique lookup],bonds[nxt_call_dt])</f>
        <v>47202</v>
      </c>
      <c r="H290" s="17">
        <f t="shared" si="222"/>
        <v>4.5194444444444448</v>
      </c>
      <c r="I290" s="12" t="s">
        <v>35</v>
      </c>
      <c r="J290" s="18" cm="1">
        <f t="array" ref="J290">_xll.BDP(D290&amp;" Corp",$I290)</f>
        <v>194.08227869092465</v>
      </c>
      <c r="K290" s="18" cm="1">
        <f t="array" ref="K290">_xll.BDP(E290&amp;" Corp",$I290)</f>
        <v>246.92841448221063</v>
      </c>
      <c r="L290" s="18">
        <f t="shared" si="223"/>
        <v>52.846135791285974</v>
      </c>
      <c r="M290" s="18">
        <f t="shared" si="224"/>
        <v>11.693060162792225</v>
      </c>
      <c r="N290" s="12" t="s">
        <v>36</v>
      </c>
      <c r="O290" s="18" cm="1">
        <f t="array" aca="1" ref="O290" ca="1">_xll.BDH(D290&amp;" Corp",$N290,$O$98)</f>
        <v>201.98400000000001</v>
      </c>
      <c r="P290" s="18" cm="1">
        <f t="array" aca="1" ref="P290" ca="1">_xll.BDH(E290&amp;" Corp",$N290,$O$98)</f>
        <v>248.54499999999999</v>
      </c>
      <c r="Q290" s="18">
        <f t="shared" ca="1" si="225"/>
        <v>46.560999999999979</v>
      </c>
      <c r="R290" s="18">
        <f t="shared" ca="1" si="226"/>
        <v>10.302372464658875</v>
      </c>
      <c r="S290" s="18">
        <f ca="1">IFERROR(M290-R290,"-")</f>
        <v>1.39068769813335</v>
      </c>
      <c r="T290" s="18" cm="1">
        <f t="array" aca="1" ref="T290" ca="1">_xll.BDH(D290&amp;" Corp",$N290,$T$98)</f>
        <v>192.81800000000001</v>
      </c>
      <c r="U290" s="18" cm="1">
        <f t="array" aca="1" ref="U290" ca="1">_xll.BDH(E290&amp;" Corp",$N290,$T$98)</f>
        <v>237.488</v>
      </c>
      <c r="V290" s="18">
        <f t="shared" ca="1" si="228"/>
        <v>44.669999999999987</v>
      </c>
      <c r="W290" s="18">
        <f t="shared" ca="1" si="229"/>
        <v>9.8839582052857988</v>
      </c>
      <c r="X290" s="18">
        <f t="shared" ca="1" si="230"/>
        <v>1.8091019575064262</v>
      </c>
    </row>
    <row r="292" spans="1:24" x14ac:dyDescent="0.25">
      <c r="G292" s="5" t="s">
        <v>162</v>
      </c>
      <c r="H292" s="17">
        <f>AVERAGE(H288:H290)</f>
        <v>2.7509259259259262</v>
      </c>
      <c r="M292" s="18">
        <f>AVERAGE(M288:M290)</f>
        <v>15.282793801221766</v>
      </c>
      <c r="R292" s="18">
        <f ca="1">AVERAGE(R288:R290)</f>
        <v>32.596886059648213</v>
      </c>
      <c r="S292" s="18">
        <f ca="1">AVERAGE(S288:S290)</f>
        <v>-17.314092258426445</v>
      </c>
      <c r="W292" s="18">
        <f ca="1">AVERAGE(W288:W290)</f>
        <v>42.25731940176194</v>
      </c>
      <c r="X292" s="18">
        <f ca="1">AVERAGE(X288:X290)</f>
        <v>-26.974525600540176</v>
      </c>
    </row>
    <row r="293" spans="1:24" x14ac:dyDescent="0.25">
      <c r="G293" s="5" t="s">
        <v>167</v>
      </c>
      <c r="H293" s="17">
        <f>_xlfn.STDEV.P(H288:H290)</f>
        <v>1.8282087937896987</v>
      </c>
      <c r="M293" s="18">
        <f>_xlfn.STDEV.P(M288:M290)</f>
        <v>24.325217752307474</v>
      </c>
      <c r="R293" s="18">
        <f ca="1">_xlfn.STDEV.P(R288:R290)</f>
        <v>42.864521979822896</v>
      </c>
      <c r="S293" s="18">
        <f ca="1">_xlfn.STDEV.P(S288:S290)</f>
        <v>20.504080478704189</v>
      </c>
      <c r="W293" s="18">
        <f ca="1">_xlfn.STDEV.P(W288:W290)</f>
        <v>47.393128526303549</v>
      </c>
      <c r="X293" s="18">
        <f ca="1">_xlfn.STDEV.P(X288:X290)</f>
        <v>26.715815981986886</v>
      </c>
    </row>
    <row r="296" spans="1:24" x14ac:dyDescent="0.25">
      <c r="A296" s="5" t="s">
        <v>164</v>
      </c>
      <c r="B296" s="11" t="str">
        <f>C281</f>
        <v>MRKGR 2 5/8 12/12/74 nc-21</v>
      </c>
      <c r="C296" s="11" t="str">
        <f>C284</f>
        <v>MRKGR 2 7/8 06/25/79 nc-29</v>
      </c>
      <c r="D296" s="22" t="str">
        <f>_xlfn.XLOOKUP(B296,bonds[unique lookup],bonds[ID_ISIN])</f>
        <v>XS1152338072</v>
      </c>
      <c r="E296" s="22" t="str">
        <f>_xlfn.XLOOKUP(C296,bonds[unique lookup],bonds[ID_ISIN])</f>
        <v>XS2011260705</v>
      </c>
      <c r="F296" s="25">
        <f>_xlfn.XLOOKUP(B296,bonds[unique lookup],bonds[nxt_call_dt])</f>
        <v>44359</v>
      </c>
      <c r="G296" s="25">
        <f>_xlfn.XLOOKUP(C296,bonds[unique lookup],bonds[nxt_call_dt])</f>
        <v>47202</v>
      </c>
      <c r="H296" s="17">
        <f t="shared" ref="H296" si="231">YEARFRAC(F296,G296)</f>
        <v>7.7861111111111114</v>
      </c>
      <c r="I296" s="12" t="s">
        <v>35</v>
      </c>
      <c r="J296" s="18" cm="1">
        <f t="array" ref="J296">_xll.BDP(D296&amp;" Corp",$I296)</f>
        <v>227.115512284402</v>
      </c>
      <c r="K296" s="18" cm="1">
        <f t="array" ref="K296">_xll.BDP(E296&amp;" Corp",$I296)</f>
        <v>246.92841448221063</v>
      </c>
      <c r="L296" s="18">
        <f t="shared" ref="L296" si="232">K296-J296</f>
        <v>19.812902197808626</v>
      </c>
      <c r="M296" s="18">
        <f t="shared" ref="M296" si="233">L296/H296</f>
        <v>2.5446467325048538</v>
      </c>
      <c r="N296" s="12" t="s">
        <v>36</v>
      </c>
      <c r="O296" s="18" cm="1">
        <f t="array" aca="1" ref="O296" ca="1">_xll.BDH(D296&amp;" Corp",$N296,$O$98)</f>
        <v>198.14699999999999</v>
      </c>
      <c r="P296" s="18" cm="1">
        <f t="array" aca="1" ref="P296" ca="1">_xll.BDH(E296&amp;" Corp",$N296,$O$98)</f>
        <v>248.54499999999999</v>
      </c>
      <c r="Q296" s="18">
        <f t="shared" ref="Q296" ca="1" si="234">IFERROR(P296-O296,"-")</f>
        <v>50.397999999999996</v>
      </c>
      <c r="R296" s="18">
        <f t="shared" ref="R296" ca="1" si="235">IFERROR(Q296/H296,"-")</f>
        <v>6.4728077060292533</v>
      </c>
      <c r="S296" s="18">
        <f t="shared" ref="S296" ca="1" si="236">IFERROR(M296-R296,"-")</f>
        <v>-3.9281609735243994</v>
      </c>
      <c r="T296" s="18" cm="1">
        <f t="array" aca="1" ref="T296" ca="1">_xll.BDH(D296&amp;" Corp",$N296,$T$98)</f>
        <v>140.654</v>
      </c>
      <c r="U296" s="18" cm="1">
        <f t="array" aca="1" ref="U296" ca="1">_xll.BDH(E296&amp;" Corp",$N296,$T$98)</f>
        <v>237.488</v>
      </c>
      <c r="V296" s="18">
        <f t="shared" ref="V296" ca="1" si="237">IFERROR(U296-T296,"-")</f>
        <v>96.834000000000003</v>
      </c>
      <c r="W296" s="18">
        <f t="shared" ref="W296" ca="1" si="238">IFERROR(V296/H296,"-")</f>
        <v>12.436760613628255</v>
      </c>
      <c r="X296" s="18">
        <f t="shared" ref="X296" ca="1" si="239">IFERROR(M296-W296,"-")</f>
        <v>-9.892113881123402</v>
      </c>
    </row>
    <row r="302" spans="1:24" x14ac:dyDescent="0.25">
      <c r="B302" s="5" t="s">
        <v>2</v>
      </c>
      <c r="C302" s="11" t="s">
        <v>430</v>
      </c>
    </row>
    <row r="303" spans="1:24" ht="11" x14ac:dyDescent="0.3">
      <c r="C303" s="4" t="s">
        <v>146</v>
      </c>
      <c r="D303" s="4" t="s">
        <v>147</v>
      </c>
    </row>
    <row r="304" spans="1:24" x14ac:dyDescent="0.25">
      <c r="C304" s="5" t="str" cm="1">
        <f t="array" ref="C304:C307">_xlfn._xlws.FILTER(bonds[unique lookup],(bonds[ticker]=C302)*(bonds[crncy]="eur"))</f>
        <v>REPSM 3 7/8 PERP nc-21</v>
      </c>
      <c r="D304" s="22" t="str" cm="1">
        <f t="array" ref="D304:D307">_xlfn.XLOOKUP(_xlfn.ANCHORARRAY(C304),bonds[unique lookup],bonds[ID_ISIN])</f>
        <v>XS1207054666</v>
      </c>
    </row>
    <row r="305" spans="1:24" x14ac:dyDescent="0.25">
      <c r="C305" s="5" t="str">
        <v>REPSM 4 1/2 03/25/75 nc-25</v>
      </c>
      <c r="D305" s="22" t="str">
        <v>XS1207058733</v>
      </c>
    </row>
    <row r="306" spans="1:24" x14ac:dyDescent="0.25">
      <c r="C306" s="5" t="str">
        <v>REPSM 3 3/4 PERP nc-26</v>
      </c>
      <c r="D306" s="22" t="str">
        <v>XS2185997884</v>
      </c>
    </row>
    <row r="307" spans="1:24" x14ac:dyDescent="0.25">
      <c r="C307" s="5" t="str">
        <v>REPSM 4.247 PERP nc-28</v>
      </c>
      <c r="D307" s="22" t="str">
        <v>XS2186001314</v>
      </c>
    </row>
    <row r="308" spans="1:24" x14ac:dyDescent="0.25">
      <c r="D308" s="22"/>
    </row>
    <row r="309" spans="1:24" x14ac:dyDescent="0.25">
      <c r="D309" s="22"/>
    </row>
    <row r="310" spans="1:24" x14ac:dyDescent="0.25">
      <c r="D310" s="22"/>
    </row>
    <row r="311" spans="1:24" x14ac:dyDescent="0.25">
      <c r="A311" s="5" t="s">
        <v>161</v>
      </c>
      <c r="B311" s="11" t="str">
        <f>C304</f>
        <v>REPSM 3 7/8 PERP nc-21</v>
      </c>
      <c r="C311" s="11" t="str">
        <f>C305</f>
        <v>REPSM 4 1/2 03/25/75 nc-25</v>
      </c>
      <c r="D311" s="22" t="str">
        <f>_xlfn.XLOOKUP(B311,bonds[unique lookup],bonds[ID_ISIN])</f>
        <v>XS1207054666</v>
      </c>
      <c r="E311" s="22" t="str">
        <f>_xlfn.XLOOKUP(C311,bonds[unique lookup],bonds[ID_ISIN])</f>
        <v>XS1207058733</v>
      </c>
      <c r="F311" s="25">
        <f>_xlfn.XLOOKUP(B311,bonds[unique lookup],bonds[nxt_call_dt])</f>
        <v>44280</v>
      </c>
      <c r="G311" s="25">
        <f>_xlfn.XLOOKUP(C311,bonds[unique lookup],bonds[nxt_call_dt])</f>
        <v>45741</v>
      </c>
      <c r="H311" s="17">
        <f t="shared" ref="H311:H313" si="240">YEARFRAC(F311,G311)</f>
        <v>4</v>
      </c>
      <c r="I311" s="12" t="s">
        <v>35</v>
      </c>
      <c r="J311" s="18" cm="1">
        <f t="array" ref="J311">_xll.BDP(D311&amp;" Corp",$I311)</f>
        <v>265.33730525304094</v>
      </c>
      <c r="K311" s="18" cm="1">
        <f t="array" ref="K311">_xll.BDP(E311&amp;" Corp",$I311)</f>
        <v>371.74464883476645</v>
      </c>
      <c r="L311" s="18">
        <f t="shared" ref="L311:L313" si="241">K311-J311</f>
        <v>106.40734358172551</v>
      </c>
      <c r="M311" s="18">
        <f t="shared" ref="M311:M313" si="242">IFERROR(L311/H311,"-")</f>
        <v>26.601835895431378</v>
      </c>
      <c r="N311" s="12" t="s">
        <v>36</v>
      </c>
      <c r="O311" s="18" cm="1">
        <f t="array" aca="1" ref="O311" ca="1">_xll.BDH(D311&amp;" Corp",$N311,$O$98)</f>
        <v>262.85599999999999</v>
      </c>
      <c r="P311" s="18" cm="1">
        <f t="array" aca="1" ref="P311" ca="1">_xll.BDH(E311&amp;" Corp",$N311,$O$98)</f>
        <v>380.47500000000002</v>
      </c>
      <c r="Q311" s="18">
        <f t="shared" ref="Q311:Q313" ca="1" si="243">IFERROR(P311-O311,"-")</f>
        <v>117.61900000000003</v>
      </c>
      <c r="R311" s="18">
        <f t="shared" ref="R311:R313" ca="1" si="244">IFERROR(Q311/H311,"-")</f>
        <v>29.404750000000007</v>
      </c>
      <c r="S311" s="18">
        <f t="shared" ref="S311:S312" ca="1" si="245">IFERROR(M311-R311,"-")</f>
        <v>-2.8029141045686288</v>
      </c>
      <c r="T311" s="18" cm="1">
        <f t="array" aca="1" ref="T311" ca="1">_xll.BDH(D311&amp;" Corp",$N311,$T$98)</f>
        <v>375.21</v>
      </c>
      <c r="U311" s="18" cm="1">
        <f t="array" aca="1" ref="U311" ca="1">_xll.BDH(E311&amp;" Corp",$N311,$T$98)</f>
        <v>373.053</v>
      </c>
      <c r="V311" s="18">
        <f t="shared" ref="V311:V313" ca="1" si="246">IFERROR(U311-T311,"-")</f>
        <v>-2.1569999999999823</v>
      </c>
      <c r="W311" s="18">
        <f t="shared" ref="W311:W313" ca="1" si="247">IFERROR(V311/H311,"-")</f>
        <v>-0.53924999999999557</v>
      </c>
      <c r="X311" s="18">
        <f t="shared" ref="X311:X313" ca="1" si="248">IFERROR(M311-W311,"-")</f>
        <v>27.141085895431374</v>
      </c>
    </row>
    <row r="312" spans="1:24" x14ac:dyDescent="0.25">
      <c r="A312" s="5" t="s">
        <v>161</v>
      </c>
      <c r="B312" s="11" t="str">
        <f>C305</f>
        <v>REPSM 4 1/2 03/25/75 nc-25</v>
      </c>
      <c r="C312" s="11" t="str">
        <f>C306</f>
        <v>REPSM 3 3/4 PERP nc-26</v>
      </c>
      <c r="D312" s="22" t="str">
        <f>_xlfn.XLOOKUP(B312,bonds[unique lookup],bonds[ID_ISIN])</f>
        <v>XS1207058733</v>
      </c>
      <c r="E312" s="22" t="str">
        <f>_xlfn.XLOOKUP(C312,bonds[unique lookup],bonds[ID_ISIN])</f>
        <v>XS2185997884</v>
      </c>
      <c r="F312" s="25">
        <f>_xlfn.XLOOKUP(B312,bonds[unique lookup],bonds[nxt_call_dt])</f>
        <v>45741</v>
      </c>
      <c r="G312" s="25">
        <f>_xlfn.XLOOKUP(C312,bonds[unique lookup],bonds[nxt_call_dt])</f>
        <v>46092</v>
      </c>
      <c r="H312" s="17">
        <f t="shared" si="240"/>
        <v>0.96111111111111114</v>
      </c>
      <c r="I312" s="12" t="s">
        <v>35</v>
      </c>
      <c r="J312" s="18" cm="1">
        <f t="array" ref="J312">_xll.BDP(D312&amp;" Corp",$I312)</f>
        <v>371.74464883476645</v>
      </c>
      <c r="K312" s="18" cm="1">
        <f t="array" ref="K312">_xll.BDP(E312&amp;" Corp",$I312)</f>
        <v>389.0336994008839</v>
      </c>
      <c r="L312" s="18">
        <f t="shared" si="241"/>
        <v>17.289050566117453</v>
      </c>
      <c r="M312" s="18">
        <f t="shared" si="242"/>
        <v>17.988607525440123</v>
      </c>
      <c r="N312" s="12" t="s">
        <v>36</v>
      </c>
      <c r="O312" s="18" cm="1">
        <f t="array" aca="1" ref="O312" ca="1">_xll.BDH(D312&amp;" Corp",$N312,$O$98)</f>
        <v>380.47500000000002</v>
      </c>
      <c r="P312" s="18" cm="1">
        <f t="array" aca="1" ref="P312" ca="1">_xll.BDH(E312&amp;" Corp",$N312,$O$98)</f>
        <v>409.38499999999999</v>
      </c>
      <c r="Q312" s="18">
        <f t="shared" ca="1" si="243"/>
        <v>28.909999999999968</v>
      </c>
      <c r="R312" s="18">
        <f t="shared" ca="1" si="244"/>
        <v>30.079768786127133</v>
      </c>
      <c r="S312" s="18">
        <f t="shared" ca="1" si="245"/>
        <v>-12.091161260687009</v>
      </c>
      <c r="T312" s="18" cm="1">
        <f t="array" aca="1" ref="T312" ca="1">_xll.BDH(D312&amp;" Corp",$N312,$T$98)</f>
        <v>373.053</v>
      </c>
      <c r="U312" s="18" t="str" cm="1">
        <f t="array" aca="1" ref="U312" ca="1">_xll.BDH(E312&amp;" Corp",$N312,$T$98)</f>
        <v>#N/A N/A</v>
      </c>
      <c r="V312" s="18" t="str">
        <f t="shared" ca="1" si="246"/>
        <v>-</v>
      </c>
      <c r="W312" s="18" t="str">
        <f t="shared" ca="1" si="247"/>
        <v>-</v>
      </c>
      <c r="X312" s="18" t="str">
        <f t="shared" ca="1" si="248"/>
        <v>-</v>
      </c>
    </row>
    <row r="313" spans="1:24" x14ac:dyDescent="0.25">
      <c r="A313" s="5" t="s">
        <v>161</v>
      </c>
      <c r="B313" s="11" t="str">
        <f>C306</f>
        <v>REPSM 3 3/4 PERP nc-26</v>
      </c>
      <c r="C313" s="11" t="str">
        <f>C307</f>
        <v>REPSM 4.247 PERP nc-28</v>
      </c>
      <c r="D313" s="22" t="str">
        <f>_xlfn.XLOOKUP(B313,bonds[unique lookup],bonds[ID_ISIN])</f>
        <v>XS2185997884</v>
      </c>
      <c r="E313" s="22" t="str">
        <f>_xlfn.XLOOKUP(C313,bonds[unique lookup],bonds[ID_ISIN])</f>
        <v>XS2186001314</v>
      </c>
      <c r="F313" s="25">
        <f>_xlfn.XLOOKUP(B313,bonds[unique lookup],bonds[nxt_call_dt])</f>
        <v>46092</v>
      </c>
      <c r="G313" s="25">
        <f>_xlfn.XLOOKUP(C313,bonds[unique lookup],bonds[nxt_call_dt])</f>
        <v>47007</v>
      </c>
      <c r="H313" s="17">
        <f t="shared" si="240"/>
        <v>2.5</v>
      </c>
      <c r="I313" s="12" t="s">
        <v>35</v>
      </c>
      <c r="J313" s="18" cm="1">
        <f t="array" ref="J313">_xll.BDP(D313&amp;" Corp",$I313)</f>
        <v>389.0336994008839</v>
      </c>
      <c r="K313" s="18" cm="1">
        <f t="array" ref="K313">_xll.BDP(E313&amp;" Corp",$I313)</f>
        <v>411.34105047736489</v>
      </c>
      <c r="L313" s="18">
        <f t="shared" si="241"/>
        <v>22.307351076480984</v>
      </c>
      <c r="M313" s="18">
        <f t="shared" si="242"/>
        <v>8.9229404305923943</v>
      </c>
      <c r="N313" s="12" t="s">
        <v>36</v>
      </c>
      <c r="O313" s="18" cm="1">
        <f t="array" aca="1" ref="O313" ca="1">_xll.BDH(D313&amp;" Corp",$N313,$O$98)</f>
        <v>409.38499999999999</v>
      </c>
      <c r="P313" s="18" cm="1">
        <f t="array" aca="1" ref="P313" ca="1">_xll.BDH(E313&amp;" Corp",$N313,$O$98)</f>
        <v>426.39100000000002</v>
      </c>
      <c r="Q313" s="18">
        <f t="shared" ca="1" si="243"/>
        <v>17.006000000000029</v>
      </c>
      <c r="R313" s="18">
        <f t="shared" ca="1" si="244"/>
        <v>6.8024000000000111</v>
      </c>
      <c r="S313" s="18">
        <f ca="1">IFERROR(M313-R313,"-")</f>
        <v>2.1205404305923832</v>
      </c>
      <c r="T313" s="18" t="str" cm="1">
        <f t="array" aca="1" ref="T313" ca="1">_xll.BDH(D313&amp;" Corp",$N313,$T$98)</f>
        <v>#N/A N/A</v>
      </c>
      <c r="U313" s="18" t="str" cm="1">
        <f t="array" aca="1" ref="U313" ca="1">_xll.BDH(E313&amp;" Corp",$N313,$T$98)</f>
        <v>#N/A N/A</v>
      </c>
      <c r="V313" s="18" t="str">
        <f t="shared" ca="1" si="246"/>
        <v>-</v>
      </c>
      <c r="W313" s="18" t="str">
        <f t="shared" ca="1" si="247"/>
        <v>-</v>
      </c>
      <c r="X313" s="18" t="str">
        <f t="shared" ca="1" si="248"/>
        <v>-</v>
      </c>
    </row>
    <row r="315" spans="1:24" x14ac:dyDescent="0.25">
      <c r="G315" s="5" t="s">
        <v>162</v>
      </c>
      <c r="H315" s="17">
        <f>AVERAGE(H311:H313)</f>
        <v>2.4870370370370369</v>
      </c>
      <c r="M315" s="18">
        <f>AVERAGE(M311:M313)</f>
        <v>17.837794617154632</v>
      </c>
      <c r="R315" s="18">
        <f ca="1">AVERAGE(R311:R313)</f>
        <v>22.095639595375715</v>
      </c>
      <c r="S315" s="18">
        <f ca="1">AVERAGE(S311:S313)</f>
        <v>-4.257844978221085</v>
      </c>
      <c r="W315" s="18">
        <f ca="1">AVERAGE(W311:W313)</f>
        <v>-0.53924999999999557</v>
      </c>
      <c r="X315" s="18">
        <f ca="1">AVERAGE(X311:X313)</f>
        <v>27.141085895431374</v>
      </c>
    </row>
    <row r="316" spans="1:24" x14ac:dyDescent="0.25">
      <c r="G316" s="5" t="s">
        <v>167</v>
      </c>
      <c r="H316" s="17">
        <f>_xlfn.STDEV.P(H311:H313)</f>
        <v>1.2406550550843884</v>
      </c>
      <c r="M316" s="18">
        <f>_xlfn.STDEV.P(M311:M313)</f>
        <v>7.2181666469242733</v>
      </c>
      <c r="R316" s="18">
        <f ca="1">_xlfn.STDEV.P(R311:R313)</f>
        <v>10.817464138499425</v>
      </c>
      <c r="S316" s="18">
        <f ca="1">_xlfn.STDEV.P(S311:S313)</f>
        <v>5.8924094746721236</v>
      </c>
      <c r="W316" s="18">
        <f ca="1">_xlfn.STDEV.P(W311:W313)</f>
        <v>0</v>
      </c>
      <c r="X316" s="18">
        <f ca="1">_xlfn.STDEV.P(X311:X313)</f>
        <v>0</v>
      </c>
    </row>
    <row r="319" spans="1:24" x14ac:dyDescent="0.25">
      <c r="A319" s="5" t="s">
        <v>164</v>
      </c>
      <c r="B319" s="11" t="str">
        <f>C304</f>
        <v>REPSM 3 7/8 PERP nc-21</v>
      </c>
      <c r="C319" s="11" t="str">
        <f>C307</f>
        <v>REPSM 4.247 PERP nc-28</v>
      </c>
      <c r="D319" s="22" t="str">
        <f>_xlfn.XLOOKUP(B319,bonds[unique lookup],bonds[ID_ISIN])</f>
        <v>XS1207054666</v>
      </c>
      <c r="E319" s="22" t="str">
        <f>_xlfn.XLOOKUP(C319,bonds[unique lookup],bonds[ID_ISIN])</f>
        <v>XS2186001314</v>
      </c>
      <c r="F319" s="25">
        <f>_xlfn.XLOOKUP(B319,bonds[unique lookup],bonds[nxt_call_dt])</f>
        <v>44280</v>
      </c>
      <c r="G319" s="25">
        <f>_xlfn.XLOOKUP(C319,bonds[unique lookup],bonds[nxt_call_dt])</f>
        <v>47007</v>
      </c>
      <c r="H319" s="17">
        <f t="shared" ref="H319" si="249">YEARFRAC(F319,G319)</f>
        <v>7.4611111111111112</v>
      </c>
      <c r="I319" s="12" t="s">
        <v>35</v>
      </c>
      <c r="J319" s="18" cm="1">
        <f t="array" ref="J319">_xll.BDP(D319&amp;" Corp",$I319)</f>
        <v>265.33730525304094</v>
      </c>
      <c r="K319" s="18" cm="1">
        <f t="array" ref="K319">_xll.BDP(E319&amp;" Corp",$I319)</f>
        <v>411.34105047736489</v>
      </c>
      <c r="L319" s="18">
        <f t="shared" ref="L319" si="250">K319-J319</f>
        <v>146.00374522432395</v>
      </c>
      <c r="M319" s="18">
        <f t="shared" ref="M319" si="251">L319/H319</f>
        <v>19.568633015918326</v>
      </c>
      <c r="N319" s="12" t="s">
        <v>36</v>
      </c>
      <c r="O319" s="18" cm="1">
        <f t="array" aca="1" ref="O319" ca="1">_xll.BDH(D319&amp;" Corp",$N319,$O$98)</f>
        <v>262.85599999999999</v>
      </c>
      <c r="P319" s="18" cm="1">
        <f t="array" aca="1" ref="P319" ca="1">_xll.BDH(E319&amp;" Corp",$N319,$O$98)</f>
        <v>426.39100000000002</v>
      </c>
      <c r="Q319" s="18">
        <f t="shared" ref="Q319" ca="1" si="252">IFERROR(P319-O319,"-")</f>
        <v>163.53500000000003</v>
      </c>
      <c r="R319" s="18">
        <f t="shared" ref="R319" ca="1" si="253">IFERROR(Q319/H319,"-")</f>
        <v>21.918317200297842</v>
      </c>
      <c r="S319" s="18">
        <f t="shared" ref="S319" ca="1" si="254">IFERROR(M319-R319,"-")</f>
        <v>-2.349684184379516</v>
      </c>
      <c r="T319" s="18" cm="1">
        <f t="array" aca="1" ref="T319" ca="1">_xll.BDH(D319&amp;" Corp",$N319,$T$98)</f>
        <v>375.21</v>
      </c>
      <c r="U319" s="18" t="str" cm="1">
        <f t="array" aca="1" ref="U319" ca="1">_xll.BDH(E319&amp;" Corp",$N319,$T$98)</f>
        <v>#N/A N/A</v>
      </c>
      <c r="V319" s="18" t="str">
        <f t="shared" ref="V319" ca="1" si="255">IFERROR(U319-T319,"-")</f>
        <v>-</v>
      </c>
      <c r="W319" s="18" t="str">
        <f t="shared" ref="W319" ca="1" si="256">IFERROR(V319/H319,"-")</f>
        <v>-</v>
      </c>
      <c r="X319" s="18" t="str">
        <f t="shared" ref="X319" ca="1" si="257">IFERROR(M319-W319,"-")</f>
        <v>-</v>
      </c>
    </row>
    <row r="325" spans="1:24" x14ac:dyDescent="0.25">
      <c r="B325" s="5" t="s">
        <v>2</v>
      </c>
      <c r="C325" s="11" t="s">
        <v>431</v>
      </c>
    </row>
    <row r="326" spans="1:24" ht="11" x14ac:dyDescent="0.3">
      <c r="C326" s="4" t="s">
        <v>146</v>
      </c>
      <c r="D326" s="4" t="s">
        <v>147</v>
      </c>
    </row>
    <row r="327" spans="1:24" x14ac:dyDescent="0.25">
      <c r="C327" s="5" t="str" cm="1">
        <f t="array" ref="C327:C330">_xlfn._xlws.FILTER(bonds[unique lookup],(bonds[ticker]=C325)*(bonds[crncy]="eur"))</f>
        <v>ENELIM 2 1/2 11/24/78 nc-23</v>
      </c>
      <c r="D327" s="22" t="str" cm="1">
        <f t="array" ref="D327:D330">_xlfn.XLOOKUP(_xlfn.ANCHORARRAY(C327),bonds[unique lookup],bonds[ID_ISIN])</f>
        <v>XS1713463716</v>
      </c>
    </row>
    <row r="328" spans="1:24" x14ac:dyDescent="0.25">
      <c r="C328" s="5" t="str">
        <v>ENELIM 5.451 01/10/74 nc-24</v>
      </c>
      <c r="D328" s="22" t="str">
        <v>XS0954675129</v>
      </c>
    </row>
    <row r="329" spans="1:24" x14ac:dyDescent="0.25">
      <c r="C329" s="5" t="str">
        <v>ENELIM 3 1/2 05/24/80 nc-25</v>
      </c>
      <c r="D329" s="22" t="str">
        <v>XS2000719992</v>
      </c>
    </row>
    <row r="330" spans="1:24" x14ac:dyDescent="0.25">
      <c r="C330" s="5" t="str">
        <v>ENELIM 3 3/8 11/24/81 nc-26</v>
      </c>
      <c r="D330" s="22" t="str">
        <v>XS1713463559</v>
      </c>
    </row>
    <row r="331" spans="1:24" x14ac:dyDescent="0.25">
      <c r="D331" s="22"/>
    </row>
    <row r="332" spans="1:24" x14ac:dyDescent="0.25">
      <c r="D332" s="22"/>
    </row>
    <row r="333" spans="1:24" x14ac:dyDescent="0.25">
      <c r="D333" s="22"/>
    </row>
    <row r="334" spans="1:24" x14ac:dyDescent="0.25">
      <c r="A334" s="5" t="s">
        <v>161</v>
      </c>
      <c r="B334" s="11" t="str">
        <f>C327</f>
        <v>ENELIM 2 1/2 11/24/78 nc-23</v>
      </c>
      <c r="C334" s="11" t="str">
        <f>C328</f>
        <v>ENELIM 5.451 01/10/74 nc-24</v>
      </c>
      <c r="D334" s="22" t="str">
        <f>_xlfn.XLOOKUP(B334,bonds[unique lookup],bonds[ID_ISIN])</f>
        <v>XS1713463716</v>
      </c>
      <c r="E334" s="22" t="str">
        <f>_xlfn.XLOOKUP(C334,bonds[unique lookup],bonds[ID_ISIN])</f>
        <v>XS0954675129</v>
      </c>
      <c r="F334" s="25">
        <f>_xlfn.XLOOKUP(B334,bonds[unique lookup],bonds[nxt_call_dt])</f>
        <v>45162</v>
      </c>
      <c r="G334" s="25">
        <f>_xlfn.XLOOKUP(C334,bonds[unique lookup],bonds[nxt_call_dt])</f>
        <v>45301</v>
      </c>
      <c r="H334" s="17">
        <f t="shared" ref="H334:H336" si="258">YEARFRAC(F334,G334)</f>
        <v>0.37777777777777777</v>
      </c>
      <c r="I334" s="12" t="s">
        <v>35</v>
      </c>
      <c r="J334" s="18" cm="1">
        <f t="array" ref="J334">_xll.BDP(D334&amp;" Corp",$I334)</f>
        <v>269.84863898480842</v>
      </c>
      <c r="K334" s="18" cm="1">
        <f t="array" ref="K334">_xll.BDP(E334&amp;" Corp",$I334)</f>
        <v>253.52477665697495</v>
      </c>
      <c r="L334" s="18">
        <f t="shared" ref="L334:L336" si="259">K334-J334</f>
        <v>-16.323862327833467</v>
      </c>
      <c r="M334" s="18">
        <f t="shared" ref="M334:M336" si="260">IFERROR(L334/H334,"-")</f>
        <v>-43.210223808970945</v>
      </c>
      <c r="N334" s="12" t="s">
        <v>36</v>
      </c>
      <c r="O334" s="18" cm="1">
        <f t="array" aca="1" ref="O334" ca="1">_xll.BDH(D334&amp;" Corp",$N334,$O$98)</f>
        <v>269.38200000000001</v>
      </c>
      <c r="P334" s="18" cm="1">
        <f t="array" aca="1" ref="P334" ca="1">_xll.BDH(E334&amp;" Corp",$N334,$O$98)</f>
        <v>263.923</v>
      </c>
      <c r="Q334" s="18">
        <f t="shared" ref="Q334:Q336" ca="1" si="261">IFERROR(P334-O334,"-")</f>
        <v>-5.4590000000000032</v>
      </c>
      <c r="R334" s="18">
        <f t="shared" ref="R334:R336" ca="1" si="262">IFERROR(Q334/H334,"-")</f>
        <v>-14.450294117647069</v>
      </c>
      <c r="S334" s="18">
        <f t="shared" ref="S334:S335" ca="1" si="263">IFERROR(M334-R334,"-")</f>
        <v>-28.759929691323876</v>
      </c>
      <c r="T334" s="18" cm="1">
        <f t="array" aca="1" ref="T334" ca="1">_xll.BDH(D334&amp;" Corp",$N334,$T$98)</f>
        <v>269.33699999999999</v>
      </c>
      <c r="U334" s="18" cm="1">
        <f t="array" aca="1" ref="U334" ca="1">_xll.BDH(E334&amp;" Corp",$N334,$T$98)</f>
        <v>257.18400000000003</v>
      </c>
      <c r="V334" s="18">
        <f t="shared" ref="V334:V336" ca="1" si="264">IFERROR(U334-T334,"-")</f>
        <v>-12.152999999999963</v>
      </c>
      <c r="W334" s="18">
        <f t="shared" ref="W334:W336" ca="1" si="265">IFERROR(V334/H334,"-")</f>
        <v>-32.169705882352844</v>
      </c>
      <c r="X334" s="18">
        <f t="shared" ref="X334:X336" ca="1" si="266">IFERROR(M334-W334,"-")</f>
        <v>-11.040517926618101</v>
      </c>
    </row>
    <row r="335" spans="1:24" x14ac:dyDescent="0.25">
      <c r="A335" s="5" t="s">
        <v>161</v>
      </c>
      <c r="B335" s="11" t="str">
        <f>C328</f>
        <v>ENELIM 5.451 01/10/74 nc-24</v>
      </c>
      <c r="C335" s="11" t="str">
        <f>C329</f>
        <v>ENELIM 3 1/2 05/24/80 nc-25</v>
      </c>
      <c r="D335" s="22" t="str">
        <f>_xlfn.XLOOKUP(B335,bonds[unique lookup],bonds[ID_ISIN])</f>
        <v>XS0954675129</v>
      </c>
      <c r="E335" s="22" t="str">
        <f>_xlfn.XLOOKUP(C335,bonds[unique lookup],bonds[ID_ISIN])</f>
        <v>XS2000719992</v>
      </c>
      <c r="F335" s="25">
        <f>_xlfn.XLOOKUP(B335,bonds[unique lookup],bonds[nxt_call_dt])</f>
        <v>45301</v>
      </c>
      <c r="G335" s="25">
        <f>_xlfn.XLOOKUP(C335,bonds[unique lookup],bonds[nxt_call_dt])</f>
        <v>45712</v>
      </c>
      <c r="H335" s="17">
        <f t="shared" si="258"/>
        <v>1.1222222222222222</v>
      </c>
      <c r="I335" s="12" t="s">
        <v>35</v>
      </c>
      <c r="J335" s="18" cm="1">
        <f t="array" ref="J335">_xll.BDP(D335&amp;" Corp",$I335)</f>
        <v>253.52477665697495</v>
      </c>
      <c r="K335" s="18" cm="1">
        <f t="array" ref="K335">_xll.BDP(E335&amp;" Corp",$I335)</f>
        <v>285.53598312569096</v>
      </c>
      <c r="L335" s="18">
        <f t="shared" si="259"/>
        <v>32.011206468716011</v>
      </c>
      <c r="M335" s="18">
        <f t="shared" si="260"/>
        <v>28.524837447370704</v>
      </c>
      <c r="N335" s="12" t="s">
        <v>36</v>
      </c>
      <c r="O335" s="18" cm="1">
        <f t="array" aca="1" ref="O335" ca="1">_xll.BDH(D335&amp;" Corp",$N335,$O$98)</f>
        <v>263.923</v>
      </c>
      <c r="P335" s="18" cm="1">
        <f t="array" aca="1" ref="P335" ca="1">_xll.BDH(E335&amp;" Corp",$N335,$O$98)</f>
        <v>295.38600000000002</v>
      </c>
      <c r="Q335" s="18">
        <f t="shared" ca="1" si="261"/>
        <v>31.463000000000022</v>
      </c>
      <c r="R335" s="18">
        <f t="shared" ca="1" si="262"/>
        <v>28.036336633663385</v>
      </c>
      <c r="S335" s="18">
        <f t="shared" ca="1" si="263"/>
        <v>0.48850081370731857</v>
      </c>
      <c r="T335" s="18" cm="1">
        <f t="array" aca="1" ref="T335" ca="1">_xll.BDH(D335&amp;" Corp",$N335,$T$98)</f>
        <v>257.18400000000003</v>
      </c>
      <c r="U335" s="18" cm="1">
        <f t="array" aca="1" ref="U335" ca="1">_xll.BDH(E335&amp;" Corp",$N335,$T$98)</f>
        <v>276.95100000000002</v>
      </c>
      <c r="V335" s="18">
        <f t="shared" ca="1" si="264"/>
        <v>19.766999999999996</v>
      </c>
      <c r="W335" s="18">
        <f t="shared" ca="1" si="265"/>
        <v>17.61415841584158</v>
      </c>
      <c r="X335" s="18">
        <f t="shared" ca="1" si="266"/>
        <v>10.910679031529124</v>
      </c>
    </row>
    <row r="336" spans="1:24" x14ac:dyDescent="0.25">
      <c r="A336" s="5" t="s">
        <v>161</v>
      </c>
      <c r="B336" s="11" t="str">
        <f>C329</f>
        <v>ENELIM 3 1/2 05/24/80 nc-25</v>
      </c>
      <c r="C336" s="11" t="str">
        <f>C330</f>
        <v>ENELIM 3 3/8 11/24/81 nc-26</v>
      </c>
      <c r="D336" s="22" t="str">
        <f>_xlfn.XLOOKUP(B336,bonds[unique lookup],bonds[ID_ISIN])</f>
        <v>XS2000719992</v>
      </c>
      <c r="E336" s="22" t="str">
        <f>_xlfn.XLOOKUP(C336,bonds[unique lookup],bonds[ID_ISIN])</f>
        <v>XS1713463559</v>
      </c>
      <c r="F336" s="25">
        <f>_xlfn.XLOOKUP(B336,bonds[unique lookup],bonds[nxt_call_dt])</f>
        <v>45712</v>
      </c>
      <c r="G336" s="25">
        <f>_xlfn.XLOOKUP(C336,bonds[unique lookup],bonds[nxt_call_dt])</f>
        <v>46258</v>
      </c>
      <c r="H336" s="17">
        <f t="shared" si="258"/>
        <v>1.5</v>
      </c>
      <c r="I336" s="12" t="s">
        <v>35</v>
      </c>
      <c r="J336" s="18" cm="1">
        <f t="array" ref="J336">_xll.BDP(D336&amp;" Corp",$I336)</f>
        <v>285.53598312569096</v>
      </c>
      <c r="K336" s="18" cm="1">
        <f t="array" ref="K336">_xll.BDP(E336&amp;" Corp",$I336)</f>
        <v>306.75918125557791</v>
      </c>
      <c r="L336" s="18">
        <f t="shared" si="259"/>
        <v>21.223198129886953</v>
      </c>
      <c r="M336" s="18">
        <f t="shared" si="260"/>
        <v>14.148798753257969</v>
      </c>
      <c r="N336" s="12" t="s">
        <v>36</v>
      </c>
      <c r="O336" s="18" cm="1">
        <f t="array" aca="1" ref="O336" ca="1">_xll.BDH(D336&amp;" Corp",$N336,$O$98)</f>
        <v>295.38600000000002</v>
      </c>
      <c r="P336" s="18" cm="1">
        <f t="array" aca="1" ref="P336" ca="1">_xll.BDH(E336&amp;" Corp",$N336,$O$98)</f>
        <v>311.887</v>
      </c>
      <c r="Q336" s="18">
        <f t="shared" ca="1" si="261"/>
        <v>16.500999999999976</v>
      </c>
      <c r="R336" s="18">
        <f t="shared" ca="1" si="262"/>
        <v>11.000666666666651</v>
      </c>
      <c r="S336" s="18">
        <f ca="1">IFERROR(M336-R336,"-")</f>
        <v>3.1481320865913176</v>
      </c>
      <c r="T336" s="18" cm="1">
        <f t="array" aca="1" ref="T336" ca="1">_xll.BDH(D336&amp;" Corp",$N336,$T$98)</f>
        <v>276.95100000000002</v>
      </c>
      <c r="U336" s="18" cm="1">
        <f t="array" aca="1" ref="U336" ca="1">_xll.BDH(E336&amp;" Corp",$N336,$T$98)</f>
        <v>303.70600000000002</v>
      </c>
      <c r="V336" s="18">
        <f t="shared" ca="1" si="264"/>
        <v>26.754999999999995</v>
      </c>
      <c r="W336" s="18">
        <f t="shared" ca="1" si="265"/>
        <v>17.836666666666662</v>
      </c>
      <c r="X336" s="18">
        <f t="shared" ca="1" si="266"/>
        <v>-3.6878679134086934</v>
      </c>
    </row>
    <row r="338" spans="1:24" x14ac:dyDescent="0.25">
      <c r="G338" s="5" t="s">
        <v>162</v>
      </c>
      <c r="H338" s="17">
        <f>AVERAGE(H334:H336)</f>
        <v>1</v>
      </c>
      <c r="M338" s="18">
        <f>AVERAGE(M334:M336)</f>
        <v>-0.17886253611409053</v>
      </c>
      <c r="R338" s="18">
        <f ca="1">AVERAGE(R334:R336)</f>
        <v>8.1955697275609882</v>
      </c>
      <c r="S338" s="18">
        <f ca="1">AVERAGE(S334:S336)</f>
        <v>-8.3744322636750805</v>
      </c>
      <c r="W338" s="18">
        <f ca="1">AVERAGE(W334:W336)</f>
        <v>1.0937064000517995</v>
      </c>
      <c r="X338" s="18">
        <f ca="1">AVERAGE(X334:X336)</f>
        <v>-1.2725689361658901</v>
      </c>
    </row>
    <row r="339" spans="1:24" x14ac:dyDescent="0.25">
      <c r="G339" s="5" t="s">
        <v>167</v>
      </c>
      <c r="H339" s="17">
        <f>_xlfn.STDEV.P(H334:H336)</f>
        <v>0.46622554106787506</v>
      </c>
      <c r="M339" s="18">
        <f>_xlfn.STDEV.P(M334:M336)</f>
        <v>30.988612552355427</v>
      </c>
      <c r="R339" s="18">
        <f ca="1">_xlfn.STDEV.P(R334:R336)</f>
        <v>17.458138021715161</v>
      </c>
      <c r="S339" s="18">
        <f ca="1">_xlfn.STDEV.P(S334:S336)</f>
        <v>14.455559222583595</v>
      </c>
      <c r="W339" s="18">
        <f ca="1">_xlfn.STDEV.P(W334:W336)</f>
        <v>23.520959801594582</v>
      </c>
      <c r="X339" s="18">
        <f ca="1">_xlfn.STDEV.P(X334:X336)</f>
        <v>9.1228290142895769</v>
      </c>
    </row>
    <row r="342" spans="1:24" x14ac:dyDescent="0.25">
      <c r="A342" s="5" t="s">
        <v>164</v>
      </c>
      <c r="B342" s="11" t="str">
        <f>C327</f>
        <v>ENELIM 2 1/2 11/24/78 nc-23</v>
      </c>
      <c r="C342" s="11" t="str">
        <f>C330</f>
        <v>ENELIM 3 3/8 11/24/81 nc-26</v>
      </c>
      <c r="D342" s="22" t="str">
        <f>_xlfn.XLOOKUP(B342,bonds[unique lookup],bonds[ID_ISIN])</f>
        <v>XS1713463716</v>
      </c>
      <c r="E342" s="22" t="str">
        <f>_xlfn.XLOOKUP(C342,bonds[unique lookup],bonds[ID_ISIN])</f>
        <v>XS1713463559</v>
      </c>
      <c r="F342" s="25">
        <f>_xlfn.XLOOKUP(B342,bonds[unique lookup],bonds[nxt_call_dt])</f>
        <v>45162</v>
      </c>
      <c r="G342" s="25">
        <f>_xlfn.XLOOKUP(C342,bonds[unique lookup],bonds[nxt_call_dt])</f>
        <v>46258</v>
      </c>
      <c r="H342" s="17">
        <f t="shared" ref="H342" si="267">YEARFRAC(F342,G342)</f>
        <v>3</v>
      </c>
      <c r="I342" s="12" t="s">
        <v>35</v>
      </c>
      <c r="J342" s="18" cm="1">
        <f t="array" ref="J342">_xll.BDP(D342&amp;" Corp",$I342)</f>
        <v>269.84863898480842</v>
      </c>
      <c r="K342" s="18" cm="1">
        <f t="array" ref="K342">_xll.BDP(E342&amp;" Corp",$I342)</f>
        <v>306.75918125557791</v>
      </c>
      <c r="L342" s="18">
        <f t="shared" ref="L342" si="268">K342-J342</f>
        <v>36.910542270769497</v>
      </c>
      <c r="M342" s="18">
        <f t="shared" ref="M342" si="269">L342/H342</f>
        <v>12.303514090256499</v>
      </c>
      <c r="N342" s="12" t="s">
        <v>36</v>
      </c>
      <c r="O342" s="18" cm="1">
        <f t="array" aca="1" ref="O342" ca="1">_xll.BDH(D342&amp;" Corp",$N342,$O$98)</f>
        <v>269.38200000000001</v>
      </c>
      <c r="P342" s="18" cm="1">
        <f t="array" aca="1" ref="P342" ca="1">_xll.BDH(E342&amp;" Corp",$N342,$O$98)</f>
        <v>311.887</v>
      </c>
      <c r="Q342" s="18">
        <f t="shared" ref="Q342" ca="1" si="270">IFERROR(P342-O342,"-")</f>
        <v>42.504999999999995</v>
      </c>
      <c r="R342" s="18">
        <f t="shared" ref="R342" ca="1" si="271">IFERROR(Q342/H342,"-")</f>
        <v>14.168333333333331</v>
      </c>
      <c r="S342" s="18">
        <f t="shared" ref="S342" ca="1" si="272">IFERROR(M342-R342,"-")</f>
        <v>-1.8648192430768322</v>
      </c>
      <c r="T342" s="18" cm="1">
        <f t="array" aca="1" ref="T342" ca="1">_xll.BDH(D342&amp;" Corp",$N342,$T$98)</f>
        <v>269.33699999999999</v>
      </c>
      <c r="U342" s="18" cm="1">
        <f t="array" aca="1" ref="U342" ca="1">_xll.BDH(E342&amp;" Corp",$N342,$T$98)</f>
        <v>303.70600000000002</v>
      </c>
      <c r="V342" s="18">
        <f t="shared" ref="V342" ca="1" si="273">IFERROR(U342-T342,"-")</f>
        <v>34.369000000000028</v>
      </c>
      <c r="W342" s="18">
        <f t="shared" ref="W342" ca="1" si="274">IFERROR(V342/H342,"-")</f>
        <v>11.456333333333342</v>
      </c>
      <c r="X342" s="18">
        <f t="shared" ref="X342" ca="1" si="275">IFERROR(M342-W342,"-")</f>
        <v>0.84718075692315686</v>
      </c>
    </row>
    <row r="347" spans="1:24" x14ac:dyDescent="0.25">
      <c r="B347" s="5" t="s">
        <v>2</v>
      </c>
      <c r="C347" s="11" t="s">
        <v>432</v>
      </c>
    </row>
    <row r="348" spans="1:24" ht="11" x14ac:dyDescent="0.3">
      <c r="C348" s="4" t="s">
        <v>146</v>
      </c>
      <c r="D348" s="4" t="s">
        <v>147</v>
      </c>
    </row>
    <row r="349" spans="1:24" x14ac:dyDescent="0.25">
      <c r="C349" s="5" t="e" cm="1">
        <f t="array" ref="C349:C352">_xlfn._xlws.FILTER(bonds[unique lookup],(bonds[ticker]=C347)*(bonds[crncy]="eur"))</f>
        <v>#VALUE!</v>
      </c>
      <c r="D349" s="22" t="e" cm="1">
        <f t="array" ref="D349:D352">_xlfn.XLOOKUP(_xlfn.ANCHORARRAY(C349),bonds[unique lookup],bonds[ID_ISIN])</f>
        <v>#VALUE!</v>
      </c>
    </row>
    <row r="350" spans="1:24" x14ac:dyDescent="0.25">
      <c r="C350" s="5" t="str">
        <v>ORSTED 6 1/4 06/26/13 nc-23</v>
      </c>
      <c r="D350" s="22" t="str">
        <v>XS0943370543</v>
      </c>
    </row>
    <row r="351" spans="1:24" x14ac:dyDescent="0.25">
      <c r="C351" s="5" t="str">
        <v>ORSTED 2 1/4 11/24/17 nc-24</v>
      </c>
      <c r="D351" s="22" t="str">
        <v>XS1720192696</v>
      </c>
    </row>
    <row r="352" spans="1:24" x14ac:dyDescent="0.25">
      <c r="C352" s="5" t="str">
        <v>ORSTED 1 3/4 12/09/19 nc-27</v>
      </c>
      <c r="D352" s="22" t="str">
        <v>XS2010036874</v>
      </c>
    </row>
    <row r="353" spans="1:24" x14ac:dyDescent="0.25">
      <c r="D353" s="22"/>
    </row>
    <row r="354" spans="1:24" x14ac:dyDescent="0.25">
      <c r="D354" s="22"/>
    </row>
    <row r="355" spans="1:24" x14ac:dyDescent="0.25">
      <c r="D355" s="22"/>
    </row>
    <row r="356" spans="1:24" x14ac:dyDescent="0.25">
      <c r="A356" s="5" t="s">
        <v>161</v>
      </c>
      <c r="B356" s="11" t="e">
        <f>C349</f>
        <v>#VALUE!</v>
      </c>
      <c r="C356" s="11" t="str">
        <f>C350</f>
        <v>ORSTED 6 1/4 06/26/13 nc-23</v>
      </c>
      <c r="D356" s="22" t="e">
        <f>_xlfn.XLOOKUP(B356,bonds[unique lookup],bonds[ID_ISIN])</f>
        <v>#VALUE!</v>
      </c>
      <c r="E356" s="22" t="str">
        <f>_xlfn.XLOOKUP(C356,bonds[unique lookup],bonds[ID_ISIN])</f>
        <v>XS0943370543</v>
      </c>
      <c r="F356" s="25" t="e">
        <f>_xlfn.XLOOKUP(B356,bonds[unique lookup],bonds[nxt_call_dt])</f>
        <v>#VALUE!</v>
      </c>
      <c r="G356" s="25">
        <f>_xlfn.XLOOKUP(C356,bonds[unique lookup],bonds[nxt_call_dt])</f>
        <v>45103</v>
      </c>
      <c r="H356" s="17" t="e">
        <f t="shared" ref="H356:H358" si="276">YEARFRAC(F356,G356)</f>
        <v>#VALUE!</v>
      </c>
      <c r="I356" s="12" t="s">
        <v>35</v>
      </c>
      <c r="J356" s="18" t="e" cm="1">
        <f t="array" ref="J356">_xll.BDP(D356&amp;" Corp",$I356)</f>
        <v>#VALUE!</v>
      </c>
      <c r="K356" s="18" cm="1">
        <f t="array" ref="K356">_xll.BDP(E356&amp;" Corp",$I356)</f>
        <v>183.46531881143321</v>
      </c>
      <c r="L356" s="18" t="e">
        <f t="shared" ref="L356:L358" si="277">K356-J356</f>
        <v>#VALUE!</v>
      </c>
      <c r="M356" s="18" t="str">
        <f t="shared" ref="M356:M358" si="278">IFERROR(L356/H356,"-")</f>
        <v>-</v>
      </c>
      <c r="N356" s="12" t="s">
        <v>36</v>
      </c>
      <c r="O356" s="18" t="e" cm="1">
        <f t="array" aca="1" ref="O356" ca="1">_xll.BDH(D356&amp;" Corp",$N356,$O$98)</f>
        <v>#VALUE!</v>
      </c>
      <c r="P356" s="18" cm="1">
        <f t="array" aca="1" ref="P356" ca="1">_xll.BDH(E356&amp;" Corp",$N356,$O$98)</f>
        <v>178.27</v>
      </c>
      <c r="Q356" s="18" t="str">
        <f t="shared" ref="Q356:Q358" ca="1" si="279">IFERROR(P356-O356,"-")</f>
        <v>-</v>
      </c>
      <c r="R356" s="18" t="str">
        <f t="shared" ref="R356:R358" ca="1" si="280">IFERROR(Q356/H356,"-")</f>
        <v>-</v>
      </c>
      <c r="S356" s="18" t="str">
        <f t="shared" ref="S356:S357" ca="1" si="281">IFERROR(M356-R356,"-")</f>
        <v>-</v>
      </c>
      <c r="T356" s="18" t="e" cm="1">
        <f t="array" aca="1" ref="T356" ca="1">_xll.BDH(D356&amp;" Corp",$N356,$T$98)</f>
        <v>#VALUE!</v>
      </c>
      <c r="U356" s="18" cm="1">
        <f t="array" aca="1" ref="U356" ca="1">_xll.BDH(E356&amp;" Corp",$N356,$T$98)</f>
        <v>167.32300000000001</v>
      </c>
      <c r="V356" s="18" t="str">
        <f t="shared" ref="V356:V358" ca="1" si="282">IFERROR(U356-T356,"-")</f>
        <v>-</v>
      </c>
      <c r="W356" s="18" t="str">
        <f t="shared" ref="W356:W358" ca="1" si="283">IFERROR(V356/H356,"-")</f>
        <v>-</v>
      </c>
      <c r="X356" s="18" t="str">
        <f t="shared" ref="X356:X358" ca="1" si="284">IFERROR(M356-W356,"-")</f>
        <v>-</v>
      </c>
    </row>
    <row r="357" spans="1:24" x14ac:dyDescent="0.25">
      <c r="A357" s="5" t="s">
        <v>161</v>
      </c>
      <c r="B357" s="11" t="str">
        <f>C350</f>
        <v>ORSTED 6 1/4 06/26/13 nc-23</v>
      </c>
      <c r="C357" s="11" t="str">
        <f>C351</f>
        <v>ORSTED 2 1/4 11/24/17 nc-24</v>
      </c>
      <c r="D357" s="22" t="str">
        <f>_xlfn.XLOOKUP(B357,bonds[unique lookup],bonds[ID_ISIN])</f>
        <v>XS0943370543</v>
      </c>
      <c r="E357" s="22" t="str">
        <f>_xlfn.XLOOKUP(C357,bonds[unique lookup],bonds[ID_ISIN])</f>
        <v>XS1720192696</v>
      </c>
      <c r="F357" s="25">
        <f>_xlfn.XLOOKUP(B357,bonds[unique lookup],bonds[nxt_call_dt])</f>
        <v>45103</v>
      </c>
      <c r="G357" s="25">
        <f>_xlfn.XLOOKUP(C357,bonds[unique lookup],bonds[nxt_call_dt])</f>
        <v>45528</v>
      </c>
      <c r="H357" s="17">
        <f t="shared" si="276"/>
        <v>1.1611111111111112</v>
      </c>
      <c r="I357" s="12" t="s">
        <v>35</v>
      </c>
      <c r="J357" s="18" cm="1">
        <f t="array" ref="J357">_xll.BDP(D357&amp;" Corp",$I357)</f>
        <v>183.46531881143321</v>
      </c>
      <c r="K357" s="18" cm="1">
        <f t="array" ref="K357">_xll.BDP(E357&amp;" Corp",$I357)</f>
        <v>202.46454280104012</v>
      </c>
      <c r="L357" s="18">
        <f t="shared" si="277"/>
        <v>18.999223989606918</v>
      </c>
      <c r="M357" s="18">
        <f t="shared" si="278"/>
        <v>16.362968029326531</v>
      </c>
      <c r="N357" s="12" t="s">
        <v>36</v>
      </c>
      <c r="O357" s="18" cm="1">
        <f t="array" aca="1" ref="O357" ca="1">_xll.BDH(D357&amp;" Corp",$N357,$O$98)</f>
        <v>178.27</v>
      </c>
      <c r="P357" s="18" cm="1">
        <f t="array" aca="1" ref="P357" ca="1">_xll.BDH(E357&amp;" Corp",$N357,$O$98)</f>
        <v>200.21799999999999</v>
      </c>
      <c r="Q357" s="18">
        <f t="shared" ca="1" si="279"/>
        <v>21.947999999999979</v>
      </c>
      <c r="R357" s="18">
        <f t="shared" ca="1" si="280"/>
        <v>18.902583732057398</v>
      </c>
      <c r="S357" s="18">
        <f t="shared" ca="1" si="281"/>
        <v>-2.5396157027308668</v>
      </c>
      <c r="T357" s="18" cm="1">
        <f t="array" aca="1" ref="T357" ca="1">_xll.BDH(D357&amp;" Corp",$N357,$T$98)</f>
        <v>167.32300000000001</v>
      </c>
      <c r="U357" s="18" cm="1">
        <f t="array" aca="1" ref="U357" ca="1">_xll.BDH(E357&amp;" Corp",$N357,$T$98)</f>
        <v>205.13399999999999</v>
      </c>
      <c r="V357" s="18">
        <f t="shared" ca="1" si="282"/>
        <v>37.810999999999979</v>
      </c>
      <c r="W357" s="18">
        <f t="shared" ca="1" si="283"/>
        <v>32.564497607655483</v>
      </c>
      <c r="X357" s="18">
        <f t="shared" ca="1" si="284"/>
        <v>-16.201529578328952</v>
      </c>
    </row>
    <row r="358" spans="1:24" x14ac:dyDescent="0.25">
      <c r="A358" s="5" t="s">
        <v>161</v>
      </c>
      <c r="B358" s="11" t="str">
        <f>C351</f>
        <v>ORSTED 2 1/4 11/24/17 nc-24</v>
      </c>
      <c r="C358" s="11" t="str">
        <f>C352</f>
        <v>ORSTED 1 3/4 12/09/19 nc-27</v>
      </c>
      <c r="D358" s="22" t="str">
        <f>_xlfn.XLOOKUP(B358,bonds[unique lookup],bonds[ID_ISIN])</f>
        <v>XS1720192696</v>
      </c>
      <c r="E358" s="22" t="str">
        <f>_xlfn.XLOOKUP(C358,bonds[unique lookup],bonds[ID_ISIN])</f>
        <v>XS2010036874</v>
      </c>
      <c r="F358" s="25">
        <f>_xlfn.XLOOKUP(B358,bonds[unique lookup],bonds[nxt_call_dt])</f>
        <v>45528</v>
      </c>
      <c r="G358" s="25">
        <f>_xlfn.XLOOKUP(C358,bonds[unique lookup],bonds[nxt_call_dt])</f>
        <v>46639</v>
      </c>
      <c r="H358" s="17">
        <f t="shared" si="276"/>
        <v>3.0416666666666665</v>
      </c>
      <c r="I358" s="12" t="s">
        <v>35</v>
      </c>
      <c r="J358" s="18" cm="1">
        <f t="array" ref="J358">_xll.BDP(D358&amp;" Corp",$I358)</f>
        <v>202.46454280104012</v>
      </c>
      <c r="K358" s="18" cm="1">
        <f t="array" ref="K358">_xll.BDP(E358&amp;" Corp",$I358)</f>
        <v>222.71849578326979</v>
      </c>
      <c r="L358" s="18">
        <f t="shared" si="277"/>
        <v>20.253952982229663</v>
      </c>
      <c r="M358" s="18">
        <f t="shared" si="278"/>
        <v>6.6588338571713965</v>
      </c>
      <c r="N358" s="12" t="s">
        <v>36</v>
      </c>
      <c r="O358" s="18" cm="1">
        <f t="array" aca="1" ref="O358" ca="1">_xll.BDH(D358&amp;" Corp",$N358,$O$98)</f>
        <v>200.21799999999999</v>
      </c>
      <c r="P358" s="18" cm="1">
        <f t="array" aca="1" ref="P358" ca="1">_xll.BDH(E358&amp;" Corp",$N358,$O$98)</f>
        <v>216.827</v>
      </c>
      <c r="Q358" s="18">
        <f t="shared" ca="1" si="279"/>
        <v>16.609000000000009</v>
      </c>
      <c r="R358" s="18">
        <f t="shared" ca="1" si="280"/>
        <v>5.4604931506849343</v>
      </c>
      <c r="S358" s="18">
        <f ca="1">IFERROR(M358-R358,"-")</f>
        <v>1.1983407064864622</v>
      </c>
      <c r="T358" s="18" cm="1">
        <f t="array" aca="1" ref="T358" ca="1">_xll.BDH(D358&amp;" Corp",$N358,$T$98)</f>
        <v>205.13399999999999</v>
      </c>
      <c r="U358" s="18" cm="1">
        <f t="array" aca="1" ref="U358" ca="1">_xll.BDH(E358&amp;" Corp",$N358,$T$98)</f>
        <v>210.828</v>
      </c>
      <c r="V358" s="18">
        <f t="shared" ca="1" si="282"/>
        <v>5.6940000000000168</v>
      </c>
      <c r="W358" s="18">
        <f t="shared" ca="1" si="283"/>
        <v>1.8720000000000057</v>
      </c>
      <c r="X358" s="18">
        <f t="shared" ca="1" si="284"/>
        <v>4.7868338571713913</v>
      </c>
    </row>
    <row r="360" spans="1:24" x14ac:dyDescent="0.25">
      <c r="G360" s="5" t="s">
        <v>162</v>
      </c>
      <c r="H360" s="17" t="e">
        <f>AVERAGE(H356:H358)</f>
        <v>#VALUE!</v>
      </c>
      <c r="M360" s="18">
        <f>AVERAGE(M356:M358)</f>
        <v>11.510900943248963</v>
      </c>
      <c r="R360" s="18">
        <f ca="1">AVERAGE(R356:R358)</f>
        <v>12.181538441371167</v>
      </c>
      <c r="S360" s="18">
        <f ca="1">AVERAGE(S356:S358)</f>
        <v>-0.6706374981222023</v>
      </c>
      <c r="W360" s="18">
        <f ca="1">AVERAGE(W356:W358)</f>
        <v>17.218248803827745</v>
      </c>
      <c r="X360" s="18">
        <f ca="1">AVERAGE(X356:X358)</f>
        <v>-5.7073478605787802</v>
      </c>
    </row>
    <row r="361" spans="1:24" x14ac:dyDescent="0.25">
      <c r="G361" s="5" t="s">
        <v>167</v>
      </c>
      <c r="H361" s="17" t="e">
        <f>_xlfn.STDEV.P(H356:H358)</f>
        <v>#VALUE!</v>
      </c>
      <c r="M361" s="18">
        <f>_xlfn.STDEV.P(M356:M358)</f>
        <v>4.8520670860775681</v>
      </c>
      <c r="R361" s="18">
        <f ca="1">_xlfn.STDEV.P(R356:R358)</f>
        <v>6.721045290686229</v>
      </c>
      <c r="S361" s="18">
        <f ca="1">_xlfn.STDEV.P(S356:S358)</f>
        <v>1.8689782046086645</v>
      </c>
      <c r="W361" s="18">
        <f ca="1">_xlfn.STDEV.P(W356:W358)</f>
        <v>15.346248803827738</v>
      </c>
      <c r="X361" s="18">
        <f ca="1">_xlfn.STDEV.P(X356:X358)</f>
        <v>10.494181717750172</v>
      </c>
    </row>
    <row r="364" spans="1:24" x14ac:dyDescent="0.25">
      <c r="A364" s="5" t="s">
        <v>164</v>
      </c>
      <c r="B364" s="11" t="e">
        <f>C349</f>
        <v>#VALUE!</v>
      </c>
      <c r="C364" s="11" t="str">
        <f>C352</f>
        <v>ORSTED 1 3/4 12/09/19 nc-27</v>
      </c>
      <c r="D364" s="22" t="e">
        <f>_xlfn.XLOOKUP(B364,bonds[unique lookup],bonds[ID_ISIN])</f>
        <v>#VALUE!</v>
      </c>
      <c r="E364" s="22" t="str">
        <f>_xlfn.XLOOKUP(C364,bonds[unique lookup],bonds[ID_ISIN])</f>
        <v>XS2010036874</v>
      </c>
      <c r="F364" s="25" t="e">
        <f>_xlfn.XLOOKUP(B364,bonds[unique lookup],bonds[nxt_call_dt])</f>
        <v>#VALUE!</v>
      </c>
      <c r="G364" s="25">
        <f>_xlfn.XLOOKUP(C364,bonds[unique lookup],bonds[nxt_call_dt])</f>
        <v>46639</v>
      </c>
      <c r="H364" s="17" t="e">
        <f t="shared" ref="H364" si="285">YEARFRAC(F364,G364)</f>
        <v>#VALUE!</v>
      </c>
      <c r="I364" s="12" t="s">
        <v>35</v>
      </c>
      <c r="J364" s="18" t="e" cm="1">
        <f t="array" ref="J364">_xll.BDP(D364&amp;" Corp",$I364)</f>
        <v>#VALUE!</v>
      </c>
      <c r="K364" s="18" cm="1">
        <f t="array" ref="K364">_xll.BDP(E364&amp;" Corp",$I364)</f>
        <v>222.71849578326979</v>
      </c>
      <c r="L364" s="18" t="e">
        <f t="shared" ref="L364" si="286">K364-J364</f>
        <v>#VALUE!</v>
      </c>
      <c r="M364" s="18" t="e">
        <f t="shared" ref="M364" si="287">L364/H364</f>
        <v>#VALUE!</v>
      </c>
      <c r="N364" s="12" t="s">
        <v>36</v>
      </c>
      <c r="O364" s="18" t="e" cm="1">
        <f t="array" aca="1" ref="O364" ca="1">_xll.BDH(D364&amp;" Corp",$N364,$O$98)</f>
        <v>#VALUE!</v>
      </c>
      <c r="P364" s="18" cm="1">
        <f t="array" aca="1" ref="P364" ca="1">_xll.BDH(E364&amp;" Corp",$N364,$O$98)</f>
        <v>216.827</v>
      </c>
      <c r="Q364" s="18" t="str">
        <f t="shared" ref="Q364" ca="1" si="288">IFERROR(P364-O364,"-")</f>
        <v>-</v>
      </c>
      <c r="R364" s="18" t="str">
        <f t="shared" ref="R364" ca="1" si="289">IFERROR(Q364/H364,"-")</f>
        <v>-</v>
      </c>
      <c r="S364" s="18" t="str">
        <f t="shared" ref="S364" ca="1" si="290">IFERROR(M364-R364,"-")</f>
        <v>-</v>
      </c>
      <c r="T364" s="18" t="e" cm="1">
        <f t="array" aca="1" ref="T364" ca="1">_xll.BDH(D364&amp;" Corp",$N364,$T$98)</f>
        <v>#VALUE!</v>
      </c>
      <c r="U364" s="18" cm="1">
        <f t="array" aca="1" ref="U364" ca="1">_xll.BDH(E364&amp;" Corp",$N364,$T$98)</f>
        <v>210.828</v>
      </c>
      <c r="V364" s="18" t="str">
        <f t="shared" ref="V364" ca="1" si="291">IFERROR(U364-T364,"-")</f>
        <v>-</v>
      </c>
      <c r="W364" s="18" t="str">
        <f t="shared" ref="W364" ca="1" si="292">IFERROR(V364/H364,"-")</f>
        <v>-</v>
      </c>
      <c r="X364" s="18" t="str">
        <f t="shared" ref="X364" ca="1" si="293">IFERROR(M364-W364,"-")</f>
        <v>-</v>
      </c>
    </row>
    <row r="371" spans="1:24" x14ac:dyDescent="0.25">
      <c r="B371" s="5" t="s">
        <v>2</v>
      </c>
      <c r="C371" s="11" t="s">
        <v>434</v>
      </c>
    </row>
    <row r="372" spans="1:24" ht="11" x14ac:dyDescent="0.3">
      <c r="C372" s="4" t="s">
        <v>146</v>
      </c>
      <c r="D372" s="4" t="s">
        <v>147</v>
      </c>
    </row>
    <row r="373" spans="1:24" x14ac:dyDescent="0.25">
      <c r="C373" s="5" t="str" cm="1">
        <f t="array" ref="C373:C375">_xlfn._xlws.FILTER(bonds[unique lookup],(bonds[ticker]=C371)*(bonds[crncy]="eur"))</f>
        <v>AKEFP 4 3/4 PERP nc-20</v>
      </c>
      <c r="D373" s="22" t="str" cm="1">
        <f t="array" ref="D373:D375">_xlfn.XLOOKUP(_xlfn.ANCHORARRAY(C373),bonds[unique lookup],bonds[ID_ISIN])</f>
        <v>FR0012278539</v>
      </c>
    </row>
    <row r="374" spans="1:24" x14ac:dyDescent="0.25">
      <c r="C374" s="5" t="str">
        <v>AKEFP 2 3/4 PERP nc-24</v>
      </c>
      <c r="D374" s="22" t="str">
        <v>FR0013425170</v>
      </c>
    </row>
    <row r="375" spans="1:24" x14ac:dyDescent="0.25">
      <c r="C375" s="5" t="str">
        <v>AKEFP 1 1/2 PERP nc-25</v>
      </c>
      <c r="D375" s="22" t="str">
        <v>FR0013478252</v>
      </c>
    </row>
    <row r="376" spans="1:24" x14ac:dyDescent="0.25">
      <c r="D376" s="22"/>
    </row>
    <row r="377" spans="1:24" x14ac:dyDescent="0.25">
      <c r="D377" s="22"/>
    </row>
    <row r="378" spans="1:24" x14ac:dyDescent="0.25">
      <c r="D378" s="22"/>
    </row>
    <row r="379" spans="1:24" x14ac:dyDescent="0.25">
      <c r="D379" s="22"/>
    </row>
    <row r="380" spans="1:24" x14ac:dyDescent="0.25">
      <c r="A380" s="5" t="s">
        <v>161</v>
      </c>
      <c r="B380" s="11" t="str">
        <f>C373</f>
        <v>AKEFP 4 3/4 PERP nc-20</v>
      </c>
      <c r="C380" s="11" t="str">
        <f>C374</f>
        <v>AKEFP 2 3/4 PERP nc-24</v>
      </c>
      <c r="D380" s="22" t="str">
        <f>_xlfn.XLOOKUP(B380,bonds[unique lookup],bonds[ID_ISIN])</f>
        <v>FR0012278539</v>
      </c>
      <c r="E380" s="22" t="str">
        <f>_xlfn.XLOOKUP(C380,bonds[unique lookup],bonds[ID_ISIN])</f>
        <v>FR0013425170</v>
      </c>
      <c r="F380" s="25">
        <f>_xlfn.XLOOKUP(B380,bonds[unique lookup],bonds[nxt_call_dt])</f>
        <v>44133</v>
      </c>
      <c r="G380" s="25">
        <f>_xlfn.XLOOKUP(C380,bonds[unique lookup],bonds[nxt_call_dt])</f>
        <v>45460</v>
      </c>
      <c r="H380" s="17">
        <f t="shared" ref="H380:H381" si="294">YEARFRAC(F380,G380)</f>
        <v>3.6333333333333333</v>
      </c>
      <c r="I380" s="12" t="s">
        <v>35</v>
      </c>
      <c r="J380" s="18" cm="1">
        <f t="array" ref="J380">_xll.BDP(D380&amp;" Corp",$I380)</f>
        <v>182.59988305819181</v>
      </c>
      <c r="K380" s="18" cm="1">
        <f t="array" ref="K380">_xll.BDP(E380&amp;" Corp",$I380)</f>
        <v>300.5382049231369</v>
      </c>
      <c r="L380" s="18">
        <f t="shared" ref="L380:L381" si="295">K380-J380</f>
        <v>117.9383218649451</v>
      </c>
      <c r="M380" s="18">
        <f t="shared" ref="M380:M381" si="296">IFERROR(L380/H380,"-")</f>
        <v>32.46008858668214</v>
      </c>
      <c r="N380" s="12" t="s">
        <v>36</v>
      </c>
      <c r="O380" s="18" cm="1">
        <f t="array" aca="1" ref="O380" ca="1">_xll.BDH(D380&amp;" Corp",$N380,$O$98)</f>
        <v>250.34</v>
      </c>
      <c r="P380" s="18" cm="1">
        <f t="array" aca="1" ref="P380" ca="1">_xll.BDH(E380&amp;" Corp",$N380,$O$98)</f>
        <v>294.786</v>
      </c>
      <c r="Q380" s="18">
        <f t="shared" ref="Q380:Q381" ca="1" si="297">IFERROR(P380-O380,"-")</f>
        <v>44.445999999999998</v>
      </c>
      <c r="R380" s="18">
        <f t="shared" ref="R380:R381" ca="1" si="298">IFERROR(Q380/H380,"-")</f>
        <v>12.232844036697248</v>
      </c>
      <c r="S380" s="18">
        <f t="shared" ref="S380:S381" ca="1" si="299">IFERROR(M380-R380,"-")</f>
        <v>20.227244549984892</v>
      </c>
      <c r="T380" s="18" cm="1">
        <f t="array" aca="1" ref="T380" ca="1">_xll.BDH(D380&amp;" Corp",$N380,$T$98)</f>
        <v>188.13200000000001</v>
      </c>
      <c r="U380" s="18" cm="1">
        <f t="array" aca="1" ref="U380" ca="1">_xll.BDH(E380&amp;" Corp",$N380,$T$98)</f>
        <v>315.36700000000002</v>
      </c>
      <c r="V380" s="18">
        <f t="shared" ref="V380:V381" ca="1" si="300">IFERROR(U380-T380,"-")</f>
        <v>127.23500000000001</v>
      </c>
      <c r="W380" s="18">
        <f t="shared" ref="W380:W381" ca="1" si="301">IFERROR(V380/H380,"-")</f>
        <v>35.018807339449545</v>
      </c>
      <c r="X380" s="18">
        <f t="shared" ref="X380:X381" ca="1" si="302">IFERROR(M380-W380,"-")</f>
        <v>-2.5587187527674047</v>
      </c>
    </row>
    <row r="381" spans="1:24" x14ac:dyDescent="0.25">
      <c r="A381" s="5" t="s">
        <v>161</v>
      </c>
      <c r="B381" s="11" t="str">
        <f>C374</f>
        <v>AKEFP 2 3/4 PERP nc-24</v>
      </c>
      <c r="C381" s="11" t="str">
        <f>C375</f>
        <v>AKEFP 1 1/2 PERP nc-25</v>
      </c>
      <c r="D381" s="22" t="str">
        <f>_xlfn.XLOOKUP(B381,bonds[unique lookup],bonds[ID_ISIN])</f>
        <v>FR0013425170</v>
      </c>
      <c r="E381" s="22" t="str">
        <f>_xlfn.XLOOKUP(C381,bonds[unique lookup],bonds[ID_ISIN])</f>
        <v>FR0013478252</v>
      </c>
      <c r="F381" s="25">
        <f>_xlfn.XLOOKUP(B381,bonds[unique lookup],bonds[nxt_call_dt])</f>
        <v>45460</v>
      </c>
      <c r="G381" s="25">
        <f>_xlfn.XLOOKUP(C381,bonds[unique lookup],bonds[nxt_call_dt])</f>
        <v>45951</v>
      </c>
      <c r="H381" s="17">
        <f t="shared" si="294"/>
        <v>1.3444444444444446</v>
      </c>
      <c r="I381" s="12" t="s">
        <v>35</v>
      </c>
      <c r="J381" s="18" cm="1">
        <f t="array" ref="J381">_xll.BDP(D381&amp;" Corp",$I381)</f>
        <v>300.5382049231369</v>
      </c>
      <c r="K381" s="18" cm="1">
        <f t="array" ref="K381">_xll.BDP(E381&amp;" Corp",$I381)</f>
        <v>291.45403442385856</v>
      </c>
      <c r="L381" s="18">
        <f t="shared" si="295"/>
        <v>-9.0841704992783434</v>
      </c>
      <c r="M381" s="18">
        <f t="shared" si="296"/>
        <v>-6.7568210325210813</v>
      </c>
      <c r="N381" s="12" t="s">
        <v>36</v>
      </c>
      <c r="O381" s="18" cm="1">
        <f t="array" aca="1" ref="O381" ca="1">_xll.BDH(D381&amp;" Corp",$N381,$O$98)</f>
        <v>294.786</v>
      </c>
      <c r="P381" s="18" cm="1">
        <f t="array" aca="1" ref="P381" ca="1">_xll.BDH(E381&amp;" Corp",$N381,$O$98)</f>
        <v>292.30599999999998</v>
      </c>
      <c r="Q381" s="18">
        <f t="shared" ca="1" si="297"/>
        <v>-2.4800000000000182</v>
      </c>
      <c r="R381" s="18">
        <f t="shared" ca="1" si="298"/>
        <v>-1.8446280991735671</v>
      </c>
      <c r="S381" s="18">
        <f t="shared" ca="1" si="299"/>
        <v>-4.9121929333475141</v>
      </c>
      <c r="T381" s="18" cm="1">
        <f t="array" aca="1" ref="T381" ca="1">_xll.BDH(D381&amp;" Corp",$N381,$T$98)</f>
        <v>315.36700000000002</v>
      </c>
      <c r="U381" s="18" cm="1">
        <f t="array" aca="1" ref="U381" ca="1">_xll.BDH(E381&amp;" Corp",$N381,$T$98)</f>
        <v>310.56700000000001</v>
      </c>
      <c r="V381" s="18">
        <f t="shared" ca="1" si="300"/>
        <v>-4.8000000000000114</v>
      </c>
      <c r="W381" s="18">
        <f t="shared" ca="1" si="301"/>
        <v>-3.5702479338843056</v>
      </c>
      <c r="X381" s="18">
        <f t="shared" ca="1" si="302"/>
        <v>-3.1865730986367757</v>
      </c>
    </row>
    <row r="383" spans="1:24" x14ac:dyDescent="0.25">
      <c r="A383" s="5" t="s">
        <v>164</v>
      </c>
      <c r="B383" s="11" t="str">
        <f>C373</f>
        <v>AKEFP 4 3/4 PERP nc-20</v>
      </c>
      <c r="C383" s="11" t="str">
        <f>C375</f>
        <v>AKEFP 1 1/2 PERP nc-25</v>
      </c>
      <c r="D383" s="22" t="str">
        <f>_xlfn.XLOOKUP(B383,bonds[unique lookup],bonds[ID_ISIN])</f>
        <v>FR0012278539</v>
      </c>
      <c r="E383" s="22" t="str">
        <f>_xlfn.XLOOKUP(C383,bonds[unique lookup],bonds[ID_ISIN])</f>
        <v>FR0013478252</v>
      </c>
      <c r="F383" s="25">
        <f>_xlfn.XLOOKUP(B383,bonds[unique lookup],bonds[nxt_call_dt])</f>
        <v>44133</v>
      </c>
      <c r="G383" s="25">
        <f>_xlfn.XLOOKUP(C383,bonds[unique lookup],bonds[nxt_call_dt])</f>
        <v>45951</v>
      </c>
      <c r="H383" s="17">
        <f t="shared" ref="H383" si="303">YEARFRAC(F383,G383)</f>
        <v>4.9777777777777779</v>
      </c>
      <c r="I383" s="12" t="s">
        <v>35</v>
      </c>
      <c r="J383" s="18" cm="1">
        <f t="array" ref="J383">_xll.BDP(D383&amp;" Corp",$I383)</f>
        <v>182.59988305819181</v>
      </c>
      <c r="K383" s="18" cm="1">
        <f t="array" ref="K383">_xll.BDP(E383&amp;" Corp",$I383)</f>
        <v>291.45403442385856</v>
      </c>
      <c r="L383" s="18">
        <f t="shared" ref="L383" si="304">K383-J383</f>
        <v>108.85415136566675</v>
      </c>
      <c r="M383" s="18">
        <f t="shared" ref="M383" si="305">L383/H383</f>
        <v>21.868021479709839</v>
      </c>
      <c r="N383" s="12" t="s">
        <v>36</v>
      </c>
      <c r="O383" s="18" cm="1">
        <f t="array" aca="1" ref="O383" ca="1">_xll.BDH(D383&amp;" Corp",$N383,$O$98)</f>
        <v>250.34</v>
      </c>
      <c r="P383" s="18" cm="1">
        <f t="array" aca="1" ref="P383" ca="1">_xll.BDH(E383&amp;" Corp",$N383,$O$98)</f>
        <v>292.30599999999998</v>
      </c>
      <c r="Q383" s="18">
        <f t="shared" ref="Q383" ca="1" si="306">IFERROR(P383-O383,"-")</f>
        <v>41.96599999999998</v>
      </c>
      <c r="R383" s="18">
        <f t="shared" ref="R383" ca="1" si="307">IFERROR(Q383/H383,"-")</f>
        <v>8.4306696428571382</v>
      </c>
      <c r="S383" s="18">
        <f t="shared" ref="S383" ca="1" si="308">IFERROR(M383-R383,"-")</f>
        <v>13.437351836852701</v>
      </c>
      <c r="T383" s="18" cm="1">
        <f t="array" aca="1" ref="T383" ca="1">_xll.BDH(D383&amp;" Corp",$N383,$T$98)</f>
        <v>188.13200000000001</v>
      </c>
      <c r="U383" s="18" cm="1">
        <f t="array" aca="1" ref="U383" ca="1">_xll.BDH(E383&amp;" Corp",$N383,$T$98)</f>
        <v>310.56700000000001</v>
      </c>
      <c r="V383" s="18">
        <f t="shared" ref="V383" ca="1" si="309">IFERROR(U383-T383,"-")</f>
        <v>122.435</v>
      </c>
      <c r="W383" s="18">
        <f t="shared" ref="W383" ca="1" si="310">IFERROR(V383/H383,"-")</f>
        <v>24.596316964285716</v>
      </c>
      <c r="X383" s="18">
        <f t="shared" ref="X383" ca="1" si="311">IFERROR(M383-W383,"-")</f>
        <v>-2.7282954845758773</v>
      </c>
    </row>
    <row r="390" spans="1:24" x14ac:dyDescent="0.25">
      <c r="B390" s="5" t="s">
        <v>2</v>
      </c>
      <c r="C390" s="11" t="s">
        <v>435</v>
      </c>
    </row>
    <row r="391" spans="1:24" ht="11" x14ac:dyDescent="0.3">
      <c r="C391" s="4" t="s">
        <v>146</v>
      </c>
      <c r="D391" s="4" t="s">
        <v>147</v>
      </c>
    </row>
    <row r="392" spans="1:24" x14ac:dyDescent="0.25">
      <c r="C392" s="5" t="str" cm="1">
        <f t="array" ref="C392:C394">_xlfn._xlws.FILTER(bonds[unique lookup],(bonds[ticker]=C390)*(bonds[crncy]="eur"))</f>
        <v>ERFFP 2 7/8 PERP nc-22</v>
      </c>
      <c r="D392" s="22" t="str" cm="1">
        <f t="array" ref="D392:D394">_xlfn.XLOOKUP(_xlfn.ANCHORARRAY(C392),bonds[unique lookup],bonds[ID_ISIN])</f>
        <v>XS2051471105</v>
      </c>
    </row>
    <row r="393" spans="1:24" x14ac:dyDescent="0.25">
      <c r="C393" s="5" t="str">
        <v>ERFFP 4 7/8 PERP nc-23</v>
      </c>
      <c r="D393" s="22" t="str">
        <v>XS1224953882</v>
      </c>
    </row>
    <row r="394" spans="1:24" x14ac:dyDescent="0.25">
      <c r="C394" s="5" t="str">
        <v>ERFFP 3 1/4 PERP nc-25</v>
      </c>
      <c r="D394" s="22" t="str">
        <v>XS1716945586</v>
      </c>
    </row>
    <row r="395" spans="1:24" x14ac:dyDescent="0.25">
      <c r="D395" s="22"/>
    </row>
    <row r="396" spans="1:24" x14ac:dyDescent="0.25">
      <c r="D396" s="22"/>
    </row>
    <row r="397" spans="1:24" x14ac:dyDescent="0.25">
      <c r="D397" s="22"/>
    </row>
    <row r="398" spans="1:24" x14ac:dyDescent="0.25">
      <c r="D398" s="22"/>
    </row>
    <row r="399" spans="1:24" x14ac:dyDescent="0.25">
      <c r="A399" s="5" t="s">
        <v>161</v>
      </c>
      <c r="B399" s="11" t="str">
        <f>C392</f>
        <v>ERFFP 2 7/8 PERP nc-22</v>
      </c>
      <c r="C399" s="11" t="str">
        <f>C393</f>
        <v>ERFFP 4 7/8 PERP nc-23</v>
      </c>
      <c r="D399" s="22" t="str">
        <f>_xlfn.XLOOKUP(B399,bonds[unique lookup],bonds[ID_ISIN])</f>
        <v>XS2051471105</v>
      </c>
      <c r="E399" s="22" t="str">
        <f>_xlfn.XLOOKUP(C399,bonds[unique lookup],bonds[ID_ISIN])</f>
        <v>XS1224953882</v>
      </c>
      <c r="F399" s="25">
        <f>_xlfn.XLOOKUP(B399,bonds[unique lookup],bonds[nxt_call_dt])</f>
        <v>44784</v>
      </c>
      <c r="G399" s="25">
        <f>_xlfn.XLOOKUP(C399,bonds[unique lookup],bonds[nxt_call_dt])</f>
        <v>45045</v>
      </c>
      <c r="H399" s="17">
        <f t="shared" ref="H399:H400" si="312">YEARFRAC(F399,G399)</f>
        <v>0.71666666666666667</v>
      </c>
      <c r="I399" s="12" t="s">
        <v>35</v>
      </c>
      <c r="J399" s="18" cm="1">
        <f t="array" ref="J399">_xll.BDP(D399&amp;" Corp",$I399)</f>
        <v>423.71405062033693</v>
      </c>
      <c r="K399" s="18" cm="1">
        <f t="array" ref="K399">_xll.BDP(E399&amp;" Corp",$I399)</f>
        <v>353.09218879443989</v>
      </c>
      <c r="L399" s="18">
        <f t="shared" ref="L399:L400" si="313">K399-J399</f>
        <v>-70.621861825897042</v>
      </c>
      <c r="M399" s="18">
        <f t="shared" ref="M399:M400" si="314">IFERROR(L399/H399,"-")</f>
        <v>-98.542132780321452</v>
      </c>
      <c r="N399" s="12" t="s">
        <v>36</v>
      </c>
      <c r="O399" s="18" cm="1">
        <f t="array" aca="1" ref="O399" ca="1">_xll.BDH(D399&amp;" Corp",$N399,$O$98)</f>
        <v>445.55700000000002</v>
      </c>
      <c r="P399" s="18" cm="1">
        <f t="array" aca="1" ref="P399" ca="1">_xll.BDH(E399&amp;" Corp",$N399,$O$98)</f>
        <v>382.07600000000002</v>
      </c>
      <c r="Q399" s="18">
        <f t="shared" ref="Q399:Q400" ca="1" si="315">IFERROR(P399-O399,"-")</f>
        <v>-63.480999999999995</v>
      </c>
      <c r="R399" s="18">
        <f t="shared" ref="R399:R400" ca="1" si="316">IFERROR(Q399/H399,"-")</f>
        <v>-88.578139534883718</v>
      </c>
      <c r="S399" s="18">
        <f t="shared" ref="S399:S400" ca="1" si="317">IFERROR(M399-R399,"-")</f>
        <v>-9.9639932454377345</v>
      </c>
      <c r="T399" s="18" cm="1">
        <f t="array" aca="1" ref="T399" ca="1">_xll.BDH(D399&amp;" Corp",$N399,$T$98)</f>
        <v>485.584</v>
      </c>
      <c r="U399" s="18" cm="1">
        <f t="array" aca="1" ref="U399" ca="1">_xll.BDH(E399&amp;" Corp",$N399,$T$98)</f>
        <v>414.54500000000002</v>
      </c>
      <c r="V399" s="18">
        <f t="shared" ref="V399:V400" ca="1" si="318">IFERROR(U399-T399,"-")</f>
        <v>-71.038999999999987</v>
      </c>
      <c r="W399" s="18">
        <f t="shared" ref="W399:W400" ca="1" si="319">IFERROR(V399/H399,"-")</f>
        <v>-99.12418604651161</v>
      </c>
      <c r="X399" s="18">
        <f t="shared" ref="X399:X400" ca="1" si="320">IFERROR(M399-W399,"-")</f>
        <v>0.58205326619015807</v>
      </c>
    </row>
    <row r="400" spans="1:24" x14ac:dyDescent="0.25">
      <c r="A400" s="5" t="s">
        <v>161</v>
      </c>
      <c r="B400" s="11" t="str">
        <f>C393</f>
        <v>ERFFP 4 7/8 PERP nc-23</v>
      </c>
      <c r="C400" s="11" t="str">
        <f>C394</f>
        <v>ERFFP 3 1/4 PERP nc-25</v>
      </c>
      <c r="D400" s="22" t="str">
        <f>_xlfn.XLOOKUP(B400,bonds[unique lookup],bonds[ID_ISIN])</f>
        <v>XS1224953882</v>
      </c>
      <c r="E400" s="22" t="str">
        <f>_xlfn.XLOOKUP(C400,bonds[unique lookup],bonds[ID_ISIN])</f>
        <v>XS1716945586</v>
      </c>
      <c r="F400" s="25">
        <f>_xlfn.XLOOKUP(B400,bonds[unique lookup],bonds[nxt_call_dt])</f>
        <v>45045</v>
      </c>
      <c r="G400" s="25">
        <f>_xlfn.XLOOKUP(C400,bonds[unique lookup],bonds[nxt_call_dt])</f>
        <v>45974</v>
      </c>
      <c r="H400" s="17">
        <f t="shared" si="312"/>
        <v>2.5388888888888888</v>
      </c>
      <c r="I400" s="12" t="s">
        <v>35</v>
      </c>
      <c r="J400" s="18" cm="1">
        <f t="array" ref="J400">_xll.BDP(D400&amp;" Corp",$I400)</f>
        <v>353.09218879443989</v>
      </c>
      <c r="K400" s="18" cm="1">
        <f t="array" ref="K400">_xll.BDP(E400&amp;" Corp",$I400)</f>
        <v>433.89597407782014</v>
      </c>
      <c r="L400" s="18">
        <f t="shared" si="313"/>
        <v>80.80378528338025</v>
      </c>
      <c r="M400" s="18">
        <f t="shared" si="314"/>
        <v>31.826436216648677</v>
      </c>
      <c r="N400" s="12" t="s">
        <v>36</v>
      </c>
      <c r="O400" s="18" cm="1">
        <f t="array" aca="1" ref="O400" ca="1">_xll.BDH(D400&amp;" Corp",$N400,$O$98)</f>
        <v>382.07600000000002</v>
      </c>
      <c r="P400" s="18" cm="1">
        <f t="array" aca="1" ref="P400" ca="1">_xll.BDH(E400&amp;" Corp",$N400,$O$98)</f>
        <v>445.41399999999999</v>
      </c>
      <c r="Q400" s="18">
        <f t="shared" ca="1" si="315"/>
        <v>63.337999999999965</v>
      </c>
      <c r="R400" s="18">
        <f t="shared" ca="1" si="316"/>
        <v>24.947133479212241</v>
      </c>
      <c r="S400" s="18">
        <f t="shared" ca="1" si="317"/>
        <v>6.8793027374364364</v>
      </c>
      <c r="T400" s="18" cm="1">
        <f t="array" aca="1" ref="T400" ca="1">_xll.BDH(D400&amp;" Corp",$N400,$T$98)</f>
        <v>414.54500000000002</v>
      </c>
      <c r="U400" s="18" cm="1">
        <f t="array" aca="1" ref="U400" ca="1">_xll.BDH(E400&amp;" Corp",$N400,$T$98)</f>
        <v>483.54300000000001</v>
      </c>
      <c r="V400" s="18">
        <f t="shared" ca="1" si="318"/>
        <v>68.99799999999999</v>
      </c>
      <c r="W400" s="18">
        <f t="shared" ca="1" si="319"/>
        <v>27.176455142231944</v>
      </c>
      <c r="X400" s="18">
        <f t="shared" ca="1" si="320"/>
        <v>4.6499810744167327</v>
      </c>
    </row>
    <row r="402" spans="1:24" x14ac:dyDescent="0.25">
      <c r="A402" s="5" t="s">
        <v>164</v>
      </c>
      <c r="B402" s="11" t="str">
        <f>C392</f>
        <v>ERFFP 2 7/8 PERP nc-22</v>
      </c>
      <c r="C402" s="11" t="str">
        <f>C394</f>
        <v>ERFFP 3 1/4 PERP nc-25</v>
      </c>
      <c r="D402" s="22" t="str">
        <f>_xlfn.XLOOKUP(B402,bonds[unique lookup],bonds[ID_ISIN])</f>
        <v>XS2051471105</v>
      </c>
      <c r="E402" s="22" t="str">
        <f>_xlfn.XLOOKUP(C402,bonds[unique lookup],bonds[ID_ISIN])</f>
        <v>XS1716945586</v>
      </c>
      <c r="F402" s="25">
        <f>_xlfn.XLOOKUP(B402,bonds[unique lookup],bonds[nxt_call_dt])</f>
        <v>44784</v>
      </c>
      <c r="G402" s="25">
        <f>_xlfn.XLOOKUP(C402,bonds[unique lookup],bonds[nxt_call_dt])</f>
        <v>45974</v>
      </c>
      <c r="H402" s="17">
        <f t="shared" ref="H402" si="321">YEARFRAC(F402,G402)</f>
        <v>3.2555555555555555</v>
      </c>
      <c r="I402" s="12" t="s">
        <v>35</v>
      </c>
      <c r="J402" s="18" cm="1">
        <f t="array" ref="J402">_xll.BDP(D402&amp;" Corp",$I402)</f>
        <v>423.71405062033693</v>
      </c>
      <c r="K402" s="18" cm="1">
        <f t="array" ref="K402">_xll.BDP(E402&amp;" Corp",$I402)</f>
        <v>433.89597407782014</v>
      </c>
      <c r="L402" s="18">
        <f t="shared" ref="L402" si="322">K402-J402</f>
        <v>10.181923457483208</v>
      </c>
      <c r="M402" s="18">
        <f t="shared" ref="M402" si="323">L402/H402</f>
        <v>3.1275532804555928</v>
      </c>
      <c r="N402" s="12" t="s">
        <v>36</v>
      </c>
      <c r="O402" s="18" cm="1">
        <f t="array" aca="1" ref="O402" ca="1">_xll.BDH(D402&amp;" Corp",$N402,$O$98)</f>
        <v>445.55700000000002</v>
      </c>
      <c r="P402" s="18" cm="1">
        <f t="array" aca="1" ref="P402" ca="1">_xll.BDH(E402&amp;" Corp",$N402,$O$98)</f>
        <v>445.41399999999999</v>
      </c>
      <c r="Q402" s="18">
        <f t="shared" ref="Q402" ca="1" si="324">IFERROR(P402-O402,"-")</f>
        <v>-0.1430000000000291</v>
      </c>
      <c r="R402" s="18">
        <f t="shared" ref="R402" ca="1" si="325">IFERROR(Q402/H402,"-")</f>
        <v>-4.392491467577686E-2</v>
      </c>
      <c r="S402" s="18">
        <f t="shared" ref="S402" ca="1" si="326">IFERROR(M402-R402,"-")</f>
        <v>3.1714781951313697</v>
      </c>
      <c r="T402" s="18" cm="1">
        <f t="array" aca="1" ref="T402" ca="1">_xll.BDH(D402&amp;" Corp",$N402,$T$98)</f>
        <v>485.584</v>
      </c>
      <c r="U402" s="18" cm="1">
        <f t="array" aca="1" ref="U402" ca="1">_xll.BDH(E402&amp;" Corp",$N402,$T$98)</f>
        <v>483.54300000000001</v>
      </c>
      <c r="V402" s="18">
        <f t="shared" ref="V402" ca="1" si="327">IFERROR(U402-T402,"-")</f>
        <v>-2.0409999999999968</v>
      </c>
      <c r="W402" s="18">
        <f t="shared" ref="W402" ca="1" si="328">IFERROR(V402/H402,"-")</f>
        <v>-0.62692832764505024</v>
      </c>
      <c r="X402" s="18">
        <f t="shared" ref="X402" ca="1" si="329">IFERROR(M402-W402,"-")</f>
        <v>3.7544816081006429</v>
      </c>
    </row>
    <row r="409" spans="1:24" x14ac:dyDescent="0.25">
      <c r="B409" s="5" t="s">
        <v>2</v>
      </c>
      <c r="C409" s="11" t="s">
        <v>436</v>
      </c>
    </row>
    <row r="410" spans="1:24" ht="11" x14ac:dyDescent="0.3">
      <c r="C410" s="4" t="s">
        <v>146</v>
      </c>
      <c r="D410" s="4" t="s">
        <v>147</v>
      </c>
    </row>
    <row r="411" spans="1:24" x14ac:dyDescent="0.25">
      <c r="C411" s="5" t="str" cm="1">
        <f t="array" ref="C411:C413">_xlfn._xlws.FILTER(bonds[unique lookup],(bonds[ticker]=C409)*(bonds[crncy]="eur"))</f>
        <v>OMVAV 5 1/4 PERP nc-21</v>
      </c>
      <c r="D411" s="22" t="str" cm="1">
        <f t="array" ref="D411:D413">_xlfn.XLOOKUP(_xlfn.ANCHORARRAY(C411),bonds[unique lookup],bonds[ID_ISIN])</f>
        <v>XS1294342792</v>
      </c>
    </row>
    <row r="412" spans="1:24" x14ac:dyDescent="0.25">
      <c r="C412" s="5" t="str">
        <v>OMVAV 2 7/8 PERP nc-24</v>
      </c>
      <c r="D412" s="22" t="str">
        <v>XS1713462403</v>
      </c>
    </row>
    <row r="413" spans="1:24" x14ac:dyDescent="0.25">
      <c r="C413" s="5" t="str">
        <v>OMVAV 6 1/4 PERP nc-25</v>
      </c>
      <c r="D413" s="22" t="str">
        <v>XS1294343337</v>
      </c>
    </row>
    <row r="414" spans="1:24" x14ac:dyDescent="0.25">
      <c r="D414" s="22"/>
    </row>
    <row r="415" spans="1:24" x14ac:dyDescent="0.25">
      <c r="D415" s="22"/>
    </row>
    <row r="416" spans="1:24" x14ac:dyDescent="0.25">
      <c r="D416" s="22"/>
    </row>
    <row r="417" spans="1:24" x14ac:dyDescent="0.25">
      <c r="D417" s="22"/>
    </row>
    <row r="418" spans="1:24" x14ac:dyDescent="0.25">
      <c r="A418" s="5" t="s">
        <v>161</v>
      </c>
      <c r="B418" s="11" t="str">
        <f>C411</f>
        <v>OMVAV 5 1/4 PERP nc-21</v>
      </c>
      <c r="C418" s="11" t="str">
        <f>C412</f>
        <v>OMVAV 2 7/8 PERP nc-24</v>
      </c>
      <c r="D418" s="22" t="str">
        <f>_xlfn.XLOOKUP(B418,bonds[unique lookup],bonds[ID_ISIN])</f>
        <v>XS1294342792</v>
      </c>
      <c r="E418" s="22" t="str">
        <f>_xlfn.XLOOKUP(C418,bonds[unique lookup],bonds[ID_ISIN])</f>
        <v>XS1713462403</v>
      </c>
      <c r="F418" s="25">
        <f>_xlfn.XLOOKUP(B418,bonds[unique lookup],bonds[nxt_call_dt])</f>
        <v>44539</v>
      </c>
      <c r="G418" s="25">
        <f>_xlfn.XLOOKUP(C418,bonds[unique lookup],bonds[nxt_call_dt])</f>
        <v>45370</v>
      </c>
      <c r="H418" s="17">
        <f t="shared" ref="H418:H419" si="330">YEARFRAC(F418,G418)</f>
        <v>2.2777777777777777</v>
      </c>
      <c r="I418" s="12" t="s">
        <v>35</v>
      </c>
      <c r="J418" s="18" cm="1">
        <f t="array" ref="J418">_xll.BDP(D418&amp;" Corp",$I418)</f>
        <v>227.4233800633084</v>
      </c>
      <c r="K418" s="18" cm="1">
        <f t="array" ref="K418">_xll.BDP(E418&amp;" Corp",$I418)</f>
        <v>294.91114796592603</v>
      </c>
      <c r="L418" s="18">
        <f t="shared" ref="L418:L419" si="331">K418-J418</f>
        <v>67.487767902617634</v>
      </c>
      <c r="M418" s="18">
        <f t="shared" ref="M418:M419" si="332">IFERROR(L418/H418,"-")</f>
        <v>29.628776152368719</v>
      </c>
      <c r="N418" s="12" t="s">
        <v>36</v>
      </c>
      <c r="O418" s="18" cm="1">
        <f t="array" aca="1" ref="O418" ca="1">_xll.BDH(D418&amp;" Corp",$N418,$O$98)</f>
        <v>222.989</v>
      </c>
      <c r="P418" s="18" cm="1">
        <f t="array" aca="1" ref="P418" ca="1">_xll.BDH(E418&amp;" Corp",$N418,$O$98)</f>
        <v>306.25</v>
      </c>
      <c r="Q418" s="18">
        <f t="shared" ref="Q418:Q419" ca="1" si="333">IFERROR(P418-O418,"-")</f>
        <v>83.260999999999996</v>
      </c>
      <c r="R418" s="18">
        <f t="shared" ref="R418:R419" ca="1" si="334">IFERROR(Q418/H418,"-")</f>
        <v>36.553609756097558</v>
      </c>
      <c r="S418" s="18">
        <f t="shared" ref="S418:S419" ca="1" si="335">IFERROR(M418-R418,"-")</f>
        <v>-6.9248336037288389</v>
      </c>
      <c r="T418" s="18" cm="1">
        <f t="array" aca="1" ref="T418" ca="1">_xll.BDH(D418&amp;" Corp",$N418,$T$98)</f>
        <v>259.63099999999997</v>
      </c>
      <c r="U418" s="18" cm="1">
        <f t="array" aca="1" ref="U418" ca="1">_xll.BDH(E418&amp;" Corp",$N418,$T$98)</f>
        <v>300.786</v>
      </c>
      <c r="V418" s="18">
        <f t="shared" ref="V418:V419" ca="1" si="336">IFERROR(U418-T418,"-")</f>
        <v>41.15500000000003</v>
      </c>
      <c r="W418" s="18">
        <f t="shared" ref="W418:W419" ca="1" si="337">IFERROR(V418/H418,"-")</f>
        <v>18.068048780487818</v>
      </c>
      <c r="X418" s="18">
        <f t="shared" ref="X418:X419" ca="1" si="338">IFERROR(M418-W418,"-")</f>
        <v>11.560727371880901</v>
      </c>
    </row>
    <row r="419" spans="1:24" x14ac:dyDescent="0.25">
      <c r="A419" s="5" t="s">
        <v>161</v>
      </c>
      <c r="B419" s="11" t="str">
        <f>C412</f>
        <v>OMVAV 2 7/8 PERP nc-24</v>
      </c>
      <c r="C419" s="11" t="str">
        <f>C413</f>
        <v>OMVAV 6 1/4 PERP nc-25</v>
      </c>
      <c r="D419" s="22" t="str">
        <f>_xlfn.XLOOKUP(B419,bonds[unique lookup],bonds[ID_ISIN])</f>
        <v>XS1713462403</v>
      </c>
      <c r="E419" s="22" t="str">
        <f>_xlfn.XLOOKUP(C419,bonds[unique lookup],bonds[ID_ISIN])</f>
        <v>XS1294343337</v>
      </c>
      <c r="F419" s="25">
        <f>_xlfn.XLOOKUP(B419,bonds[unique lookup],bonds[nxt_call_dt])</f>
        <v>45370</v>
      </c>
      <c r="G419" s="25">
        <f>_xlfn.XLOOKUP(C419,bonds[unique lookup],bonds[nxt_call_dt])</f>
        <v>46000</v>
      </c>
      <c r="H419" s="17">
        <f t="shared" si="330"/>
        <v>1.7222222222222223</v>
      </c>
      <c r="I419" s="12" t="s">
        <v>35</v>
      </c>
      <c r="J419" s="18" cm="1">
        <f t="array" ref="J419">_xll.BDP(D419&amp;" Corp",$I419)</f>
        <v>294.91114796592603</v>
      </c>
      <c r="K419" s="18" cm="1">
        <f t="array" ref="K419">_xll.BDP(E419&amp;" Corp",$I419)</f>
        <v>296.87237203567099</v>
      </c>
      <c r="L419" s="18">
        <f t="shared" si="331"/>
        <v>1.9612240697449579</v>
      </c>
      <c r="M419" s="18">
        <f t="shared" si="332"/>
        <v>1.1387752663035238</v>
      </c>
      <c r="N419" s="12" t="s">
        <v>36</v>
      </c>
      <c r="O419" s="18" cm="1">
        <f t="array" aca="1" ref="O419" ca="1">_xll.BDH(D419&amp;" Corp",$N419,$O$98)</f>
        <v>306.25</v>
      </c>
      <c r="P419" s="18" cm="1">
        <f t="array" aca="1" ref="P419" ca="1">_xll.BDH(E419&amp;" Corp",$N419,$O$98)</f>
        <v>310.00400000000002</v>
      </c>
      <c r="Q419" s="18">
        <f t="shared" ca="1" si="333"/>
        <v>3.7540000000000191</v>
      </c>
      <c r="R419" s="18">
        <f t="shared" ca="1" si="334"/>
        <v>2.1797419354838818</v>
      </c>
      <c r="S419" s="18">
        <f t="shared" ca="1" si="335"/>
        <v>-1.0409666691803581</v>
      </c>
      <c r="T419" s="18" cm="1">
        <f t="array" aca="1" ref="T419" ca="1">_xll.BDH(D419&amp;" Corp",$N419,$T$98)</f>
        <v>300.786</v>
      </c>
      <c r="U419" s="18" cm="1">
        <f t="array" aca="1" ref="U419" ca="1">_xll.BDH(E419&amp;" Corp",$N419,$T$98)</f>
        <v>319.37200000000001</v>
      </c>
      <c r="V419" s="18">
        <f t="shared" ca="1" si="336"/>
        <v>18.586000000000013</v>
      </c>
      <c r="W419" s="18">
        <f t="shared" ca="1" si="337"/>
        <v>10.791870967741943</v>
      </c>
      <c r="X419" s="18">
        <f t="shared" ca="1" si="338"/>
        <v>-9.6530957014384189</v>
      </c>
    </row>
    <row r="421" spans="1:24" x14ac:dyDescent="0.25">
      <c r="A421" s="5" t="s">
        <v>164</v>
      </c>
      <c r="B421" s="11" t="str">
        <f>C411</f>
        <v>OMVAV 5 1/4 PERP nc-21</v>
      </c>
      <c r="C421" s="11" t="str">
        <f>C413</f>
        <v>OMVAV 6 1/4 PERP nc-25</v>
      </c>
      <c r="D421" s="22" t="str">
        <f>_xlfn.XLOOKUP(B421,bonds[unique lookup],bonds[ID_ISIN])</f>
        <v>XS1294342792</v>
      </c>
      <c r="E421" s="22" t="str">
        <f>_xlfn.XLOOKUP(C421,bonds[unique lookup],bonds[ID_ISIN])</f>
        <v>XS1294343337</v>
      </c>
      <c r="F421" s="25">
        <f>_xlfn.XLOOKUP(B421,bonds[unique lookup],bonds[nxt_call_dt])</f>
        <v>44539</v>
      </c>
      <c r="G421" s="25">
        <f>_xlfn.XLOOKUP(C421,bonds[unique lookup],bonds[nxt_call_dt])</f>
        <v>46000</v>
      </c>
      <c r="H421" s="17">
        <f t="shared" ref="H421" si="339">YEARFRAC(F421,G421)</f>
        <v>4</v>
      </c>
      <c r="I421" s="12" t="s">
        <v>35</v>
      </c>
      <c r="J421" s="18" cm="1">
        <f t="array" ref="J421">_xll.BDP(D421&amp;" Corp",$I421)</f>
        <v>227.4233800633084</v>
      </c>
      <c r="K421" s="18" cm="1">
        <f t="array" ref="K421">_xll.BDP(E421&amp;" Corp",$I421)</f>
        <v>296.87237203567099</v>
      </c>
      <c r="L421" s="18">
        <f t="shared" ref="L421" si="340">K421-J421</f>
        <v>69.448991972362592</v>
      </c>
      <c r="M421" s="18">
        <f t="shared" ref="M421" si="341">L421/H421</f>
        <v>17.362247993090648</v>
      </c>
      <c r="N421" s="12" t="s">
        <v>36</v>
      </c>
      <c r="O421" s="18" cm="1">
        <f t="array" aca="1" ref="O421" ca="1">_xll.BDH(D421&amp;" Corp",$N421,$O$98)</f>
        <v>222.989</v>
      </c>
      <c r="P421" s="18" cm="1">
        <f t="array" aca="1" ref="P421" ca="1">_xll.BDH(E421&amp;" Corp",$N421,$O$98)</f>
        <v>310.00400000000002</v>
      </c>
      <c r="Q421" s="18">
        <f t="shared" ref="Q421" ca="1" si="342">IFERROR(P421-O421,"-")</f>
        <v>87.015000000000015</v>
      </c>
      <c r="R421" s="18">
        <f t="shared" ref="R421" ca="1" si="343">IFERROR(Q421/H421,"-")</f>
        <v>21.753750000000004</v>
      </c>
      <c r="S421" s="18">
        <f t="shared" ref="S421" ca="1" si="344">IFERROR(M421-R421,"-")</f>
        <v>-4.3915020069093558</v>
      </c>
      <c r="T421" s="18" cm="1">
        <f t="array" aca="1" ref="T421" ca="1">_xll.BDH(D421&amp;" Corp",$N421,$T$98)</f>
        <v>259.63099999999997</v>
      </c>
      <c r="U421" s="18" cm="1">
        <f t="array" aca="1" ref="U421" ca="1">_xll.BDH(E421&amp;" Corp",$N421,$T$98)</f>
        <v>319.37200000000001</v>
      </c>
      <c r="V421" s="18">
        <f t="shared" ref="V421" ca="1" si="345">IFERROR(U421-T421,"-")</f>
        <v>59.741000000000042</v>
      </c>
      <c r="W421" s="18">
        <f t="shared" ref="W421" ca="1" si="346">IFERROR(V421/H421,"-")</f>
        <v>14.935250000000011</v>
      </c>
      <c r="X421" s="18">
        <f t="shared" ref="X421" ca="1" si="347">IFERROR(M421-W421,"-")</f>
        <v>2.4269979930906374</v>
      </c>
    </row>
    <row r="427" spans="1:24" x14ac:dyDescent="0.25">
      <c r="B427" s="5" t="s">
        <v>2</v>
      </c>
      <c r="C427" s="11" t="s">
        <v>437</v>
      </c>
    </row>
    <row r="428" spans="1:24" ht="11" x14ac:dyDescent="0.3">
      <c r="C428" s="4" t="s">
        <v>146</v>
      </c>
      <c r="D428" s="4" t="s">
        <v>147</v>
      </c>
    </row>
    <row r="429" spans="1:24" x14ac:dyDescent="0.25">
      <c r="C429" s="5" t="str" cm="1">
        <f t="array" ref="C429:C431">_xlfn._xlws.FILTER(bonds[unique lookup],(bonds[ticker]=C427)*(bonds[crncy]="eur"))</f>
        <v>SEVFP 2 1/2 PERP nc-22</v>
      </c>
      <c r="D429" s="22" t="str" cm="1">
        <f t="array" ref="D429:D431">_xlfn.XLOOKUP(_xlfn.ANCHORARRAY(C429),bonds[unique lookup],bonds[ID_ISIN])</f>
        <v>FR0012648590</v>
      </c>
    </row>
    <row r="430" spans="1:24" x14ac:dyDescent="0.25">
      <c r="C430" s="5" t="str">
        <v>SEVFP 2 7/8 PERP nc-24</v>
      </c>
      <c r="D430" s="22" t="str">
        <v>FR0013252061</v>
      </c>
    </row>
    <row r="431" spans="1:24" x14ac:dyDescent="0.25">
      <c r="C431" s="5" t="str">
        <v>SEVFP 1 5/8 PERP nc-26</v>
      </c>
      <c r="D431" s="22" t="str">
        <v>FR0013445335</v>
      </c>
    </row>
    <row r="432" spans="1:24" x14ac:dyDescent="0.25">
      <c r="D432" s="22"/>
    </row>
    <row r="433" spans="1:24" x14ac:dyDescent="0.25">
      <c r="D433" s="22"/>
    </row>
    <row r="434" spans="1:24" x14ac:dyDescent="0.25">
      <c r="D434" s="22"/>
    </row>
    <row r="435" spans="1:24" x14ac:dyDescent="0.25">
      <c r="D435" s="22"/>
    </row>
    <row r="436" spans="1:24" x14ac:dyDescent="0.25">
      <c r="A436" s="5" t="s">
        <v>161</v>
      </c>
      <c r="B436" s="11" t="str">
        <f>C429</f>
        <v>SEVFP 2 1/2 PERP nc-22</v>
      </c>
      <c r="C436" s="11" t="str">
        <f>C430</f>
        <v>SEVFP 2 7/8 PERP nc-24</v>
      </c>
      <c r="D436" s="22" t="str">
        <f>_xlfn.XLOOKUP(B436,bonds[unique lookup],bonds[ID_ISIN])</f>
        <v>FR0012648590</v>
      </c>
      <c r="E436" s="22" t="str">
        <f>_xlfn.XLOOKUP(C436,bonds[unique lookup],bonds[ID_ISIN])</f>
        <v>FR0013252061</v>
      </c>
      <c r="F436" s="25">
        <f>_xlfn.XLOOKUP(B436,bonds[unique lookup],bonds[nxt_call_dt])</f>
        <v>44650</v>
      </c>
      <c r="G436" s="25">
        <f>_xlfn.XLOOKUP(C436,bonds[unique lookup],bonds[nxt_call_dt])</f>
        <v>45310</v>
      </c>
      <c r="H436" s="17">
        <f t="shared" ref="H436:H437" si="348">YEARFRAC(F436,G436)</f>
        <v>1.8027777777777778</v>
      </c>
      <c r="I436" s="12" t="s">
        <v>35</v>
      </c>
      <c r="J436" s="18" cm="1">
        <f t="array" ref="J436">_xll.BDP(D436&amp;" Corp",$I436)</f>
        <v>252.07128190560547</v>
      </c>
      <c r="K436" s="18" cm="1">
        <f t="array" ref="K436">_xll.BDP(E436&amp;" Corp",$I436)</f>
        <v>280.22688927057169</v>
      </c>
      <c r="L436" s="18">
        <f t="shared" ref="L436:L437" si="349">K436-J436</f>
        <v>28.155607364966215</v>
      </c>
      <c r="M436" s="18">
        <f t="shared" ref="M436:M437" si="350">IFERROR(L436/H436,"-")</f>
        <v>15.617902390428101</v>
      </c>
      <c r="N436" s="12" t="s">
        <v>36</v>
      </c>
      <c r="O436" s="18" cm="1">
        <f t="array" aca="1" ref="O436" ca="1">_xll.BDH(D436&amp;" Corp",$N436,$O$98)</f>
        <v>261.59300000000002</v>
      </c>
      <c r="P436" s="18" cm="1">
        <f t="array" aca="1" ref="P436" ca="1">_xll.BDH(E436&amp;" Corp",$N436,$O$98)</f>
        <v>289.32100000000003</v>
      </c>
      <c r="Q436" s="18">
        <f t="shared" ref="Q436:Q437" ca="1" si="351">IFERROR(P436-O436,"-")</f>
        <v>27.728000000000009</v>
      </c>
      <c r="R436" s="18">
        <f t="shared" ref="R436:R437" ca="1" si="352">IFERROR(Q436/H436,"-")</f>
        <v>15.380708782742685</v>
      </c>
      <c r="S436" s="18">
        <f t="shared" ref="S436:S437" ca="1" si="353">IFERROR(M436-R436,"-")</f>
        <v>0.2371936076854162</v>
      </c>
      <c r="T436" s="18" cm="1">
        <f t="array" aca="1" ref="T436" ca="1">_xll.BDH(D436&amp;" Corp",$N436,$T$98)</f>
        <v>262.452</v>
      </c>
      <c r="U436" s="18" cm="1">
        <f t="array" aca="1" ref="U436" ca="1">_xll.BDH(E436&amp;" Corp",$N436,$T$98)</f>
        <v>293.83800000000002</v>
      </c>
      <c r="V436" s="18">
        <f t="shared" ref="V436:V437" ca="1" si="354">IFERROR(U436-T436,"-")</f>
        <v>31.386000000000024</v>
      </c>
      <c r="W436" s="18">
        <f t="shared" ref="W436:W437" ca="1" si="355">IFERROR(V436/H436,"-")</f>
        <v>17.409799691833602</v>
      </c>
      <c r="X436" s="18">
        <f t="shared" ref="X436:X437" ca="1" si="356">IFERROR(M436-W436,"-")</f>
        <v>-1.7918973014055002</v>
      </c>
    </row>
    <row r="437" spans="1:24" x14ac:dyDescent="0.25">
      <c r="A437" s="5" t="s">
        <v>161</v>
      </c>
      <c r="B437" s="11" t="str">
        <f>C430</f>
        <v>SEVFP 2 7/8 PERP nc-24</v>
      </c>
      <c r="C437" s="11" t="str">
        <f>C431</f>
        <v>SEVFP 1 5/8 PERP nc-26</v>
      </c>
      <c r="D437" s="22" t="str">
        <f>_xlfn.XLOOKUP(B437,bonds[unique lookup],bonds[ID_ISIN])</f>
        <v>FR0013252061</v>
      </c>
      <c r="E437" s="22" t="str">
        <f>_xlfn.XLOOKUP(C437,bonds[unique lookup],bonds[ID_ISIN])</f>
        <v>FR0013445335</v>
      </c>
      <c r="F437" s="25">
        <f>_xlfn.XLOOKUP(B437,bonds[unique lookup],bonds[nxt_call_dt])</f>
        <v>45310</v>
      </c>
      <c r="G437" s="25">
        <f>_xlfn.XLOOKUP(C437,bonds[unique lookup],bonds[nxt_call_dt])</f>
        <v>46174</v>
      </c>
      <c r="H437" s="17">
        <f t="shared" si="348"/>
        <v>2.3666666666666667</v>
      </c>
      <c r="I437" s="12" t="s">
        <v>35</v>
      </c>
      <c r="J437" s="18" cm="1">
        <f t="array" ref="J437">_xll.BDP(D437&amp;" Corp",$I437)</f>
        <v>280.22688927057169</v>
      </c>
      <c r="K437" s="18" cm="1">
        <f t="array" ref="K437">_xll.BDP(E437&amp;" Corp",$I437)</f>
        <v>290.73703941537696</v>
      </c>
      <c r="L437" s="18">
        <f t="shared" si="349"/>
        <v>10.510150144805266</v>
      </c>
      <c r="M437" s="18">
        <f t="shared" si="350"/>
        <v>4.4409085118895488</v>
      </c>
      <c r="N437" s="12" t="s">
        <v>36</v>
      </c>
      <c r="O437" s="18" cm="1">
        <f t="array" aca="1" ref="O437" ca="1">_xll.BDH(D437&amp;" Corp",$N437,$O$98)</f>
        <v>289.32100000000003</v>
      </c>
      <c r="P437" s="18" cm="1">
        <f t="array" aca="1" ref="P437" ca="1">_xll.BDH(E437&amp;" Corp",$N437,$O$98)</f>
        <v>303.71499999999997</v>
      </c>
      <c r="Q437" s="18">
        <f t="shared" ca="1" si="351"/>
        <v>14.393999999999949</v>
      </c>
      <c r="R437" s="18">
        <f t="shared" ca="1" si="352"/>
        <v>6.0819718309858937</v>
      </c>
      <c r="S437" s="18">
        <f t="shared" ca="1" si="353"/>
        <v>-1.6410633190963448</v>
      </c>
      <c r="T437" s="18" cm="1">
        <f t="array" aca="1" ref="T437" ca="1">_xll.BDH(D437&amp;" Corp",$N437,$T$98)</f>
        <v>293.83800000000002</v>
      </c>
      <c r="U437" s="18" cm="1">
        <f t="array" aca="1" ref="U437" ca="1">_xll.BDH(E437&amp;" Corp",$N437,$T$98)</f>
        <v>307.25200000000001</v>
      </c>
      <c r="V437" s="18">
        <f t="shared" ca="1" si="354"/>
        <v>13.413999999999987</v>
      </c>
      <c r="W437" s="18">
        <f t="shared" ca="1" si="355"/>
        <v>5.6678873239436562</v>
      </c>
      <c r="X437" s="18">
        <f t="shared" ca="1" si="356"/>
        <v>-1.2269788120541074</v>
      </c>
    </row>
    <row r="439" spans="1:24" x14ac:dyDescent="0.25">
      <c r="A439" s="5" t="s">
        <v>164</v>
      </c>
      <c r="B439" s="11" t="str">
        <f>C429</f>
        <v>SEVFP 2 1/2 PERP nc-22</v>
      </c>
      <c r="C439" s="11" t="str">
        <f>C431</f>
        <v>SEVFP 1 5/8 PERP nc-26</v>
      </c>
      <c r="D439" s="22" t="str">
        <f>_xlfn.XLOOKUP(B439,bonds[unique lookup],bonds[ID_ISIN])</f>
        <v>FR0012648590</v>
      </c>
      <c r="E439" s="22" t="str">
        <f>_xlfn.XLOOKUP(C439,bonds[unique lookup],bonds[ID_ISIN])</f>
        <v>FR0013445335</v>
      </c>
      <c r="F439" s="25">
        <f>_xlfn.XLOOKUP(B439,bonds[unique lookup],bonds[nxt_call_dt])</f>
        <v>44650</v>
      </c>
      <c r="G439" s="25">
        <f>_xlfn.XLOOKUP(C439,bonds[unique lookup],bonds[nxt_call_dt])</f>
        <v>46174</v>
      </c>
      <c r="H439" s="17">
        <f t="shared" ref="H439" si="357">YEARFRAC(F439,G439)</f>
        <v>4.1694444444444443</v>
      </c>
      <c r="I439" s="12" t="s">
        <v>35</v>
      </c>
      <c r="J439" s="18" cm="1">
        <f t="array" ref="J439">_xll.BDP(D439&amp;" Corp",$I439)</f>
        <v>252.07128190560547</v>
      </c>
      <c r="K439" s="18" cm="1">
        <f t="array" ref="K439">_xll.BDP(E439&amp;" Corp",$I439)</f>
        <v>290.73703941537696</v>
      </c>
      <c r="L439" s="18">
        <f t="shared" ref="L439" si="358">K439-J439</f>
        <v>38.665757509771481</v>
      </c>
      <c r="M439" s="18">
        <f t="shared" ref="M439" si="359">L439/H439</f>
        <v>9.2735994027433275</v>
      </c>
      <c r="N439" s="12" t="s">
        <v>36</v>
      </c>
      <c r="O439" s="18" cm="1">
        <f t="array" aca="1" ref="O439" ca="1">_xll.BDH(D439&amp;" Corp",$N439,$O$98)</f>
        <v>261.59300000000002</v>
      </c>
      <c r="P439" s="18" cm="1">
        <f t="array" aca="1" ref="P439" ca="1">_xll.BDH(E439&amp;" Corp",$N439,$O$98)</f>
        <v>303.71499999999997</v>
      </c>
      <c r="Q439" s="18">
        <f t="shared" ref="Q439" ca="1" si="360">IFERROR(P439-O439,"-")</f>
        <v>42.121999999999957</v>
      </c>
      <c r="R439" s="18">
        <f t="shared" ref="R439" ca="1" si="361">IFERROR(Q439/H439,"-")</f>
        <v>10.102544970019977</v>
      </c>
      <c r="S439" s="18">
        <f t="shared" ref="S439" ca="1" si="362">IFERROR(M439-R439,"-")</f>
        <v>-0.8289455672766497</v>
      </c>
      <c r="T439" s="18" cm="1">
        <f t="array" aca="1" ref="T439" ca="1">_xll.BDH(D439&amp;" Corp",$N439,$T$98)</f>
        <v>262.452</v>
      </c>
      <c r="U439" s="18" cm="1">
        <f t="array" aca="1" ref="U439" ca="1">_xll.BDH(E439&amp;" Corp",$N439,$T$98)</f>
        <v>307.25200000000001</v>
      </c>
      <c r="V439" s="18">
        <f t="shared" ref="V439" ca="1" si="363">IFERROR(U439-T439,"-")</f>
        <v>44.800000000000011</v>
      </c>
      <c r="W439" s="18">
        <f t="shared" ref="W439" ca="1" si="364">IFERROR(V439/H439,"-")</f>
        <v>10.744836775483014</v>
      </c>
      <c r="X439" s="18">
        <f t="shared" ref="X439" ca="1" si="365">IFERROR(M439-W439,"-")</f>
        <v>-1.4712373727396866</v>
      </c>
    </row>
    <row r="444" spans="1:24" x14ac:dyDescent="0.25">
      <c r="B444" s="5" t="s">
        <v>2</v>
      </c>
      <c r="C444" s="11" t="s">
        <v>438</v>
      </c>
    </row>
    <row r="445" spans="1:24" ht="11" x14ac:dyDescent="0.3">
      <c r="C445" s="4" t="s">
        <v>146</v>
      </c>
      <c r="D445" s="4" t="s">
        <v>147</v>
      </c>
    </row>
    <row r="446" spans="1:24" x14ac:dyDescent="0.25">
      <c r="C446" s="5" t="str" cm="1">
        <f t="array" ref="C446:C448">_xlfn._xlws.FILTER(bonds[unique lookup],(bonds[ticker]=C444)*(bonds[crncy]="eur"))</f>
        <v>IBESM 1 7/8 PERP nc-23</v>
      </c>
      <c r="D446" s="22" t="str" cm="1">
        <f t="array" ref="D446:D448">_xlfn.XLOOKUP(_xlfn.ANCHORARRAY(C446),bonds[unique lookup],bonds[ID_ISIN])</f>
        <v>XS1721244371</v>
      </c>
    </row>
    <row r="447" spans="1:24" x14ac:dyDescent="0.25">
      <c r="C447" s="5" t="str">
        <v>IBESM 2 5/8 PERP nc-24</v>
      </c>
      <c r="D447" s="22" t="str">
        <v>XS1797138960</v>
      </c>
    </row>
    <row r="448" spans="1:24" x14ac:dyDescent="0.25">
      <c r="C448" s="5" t="str">
        <v>IBESM 3 1/4 PERP nc-24</v>
      </c>
      <c r="D448" s="22" t="str">
        <v>XS1890845875</v>
      </c>
    </row>
    <row r="449" spans="1:24" x14ac:dyDescent="0.25">
      <c r="D449" s="22"/>
    </row>
    <row r="450" spans="1:24" x14ac:dyDescent="0.25">
      <c r="D450" s="22"/>
    </row>
    <row r="451" spans="1:24" x14ac:dyDescent="0.25">
      <c r="D451" s="22"/>
    </row>
    <row r="452" spans="1:24" x14ac:dyDescent="0.25">
      <c r="D452" s="22"/>
    </row>
    <row r="453" spans="1:24" x14ac:dyDescent="0.25">
      <c r="A453" s="5" t="s">
        <v>161</v>
      </c>
      <c r="B453" s="11" t="str">
        <f>C446</f>
        <v>IBESM 1 7/8 PERP nc-23</v>
      </c>
      <c r="C453" s="11" t="str">
        <f>C447</f>
        <v>IBESM 2 5/8 PERP nc-24</v>
      </c>
      <c r="D453" s="22" t="str">
        <f>_xlfn.XLOOKUP(B453,bonds[unique lookup],bonds[ID_ISIN])</f>
        <v>XS1721244371</v>
      </c>
      <c r="E453" s="22" t="str">
        <f>_xlfn.XLOOKUP(C453,bonds[unique lookup],bonds[ID_ISIN])</f>
        <v>XS1797138960</v>
      </c>
      <c r="F453" s="25">
        <f>_xlfn.XLOOKUP(B453,bonds[unique lookup],bonds[nxt_call_dt])</f>
        <v>44979</v>
      </c>
      <c r="G453" s="25">
        <f>_xlfn.XLOOKUP(C453,bonds[unique lookup],bonds[nxt_call_dt])</f>
        <v>45377</v>
      </c>
      <c r="H453" s="17">
        <f t="shared" ref="H453:H454" si="366">YEARFRAC(F453,G453)</f>
        <v>1.0944444444444446</v>
      </c>
      <c r="I453" s="12" t="s">
        <v>35</v>
      </c>
      <c r="J453" s="18" cm="1">
        <f t="array" ref="J453">_xll.BDP(D453&amp;" Corp",$I453)</f>
        <v>213.05160684913224</v>
      </c>
      <c r="K453" s="18" cm="1">
        <f t="array" ref="K453">_xll.BDP(E453&amp;" Corp",$I453)</f>
        <v>205.62537450718247</v>
      </c>
      <c r="L453" s="18">
        <f t="shared" ref="L453:L454" si="367">K453-J453</f>
        <v>-7.4262323419497704</v>
      </c>
      <c r="M453" s="18">
        <f t="shared" ref="M453:M454" si="368">IFERROR(L453/H453,"-")</f>
        <v>-6.7853899571114651</v>
      </c>
      <c r="N453" s="12" t="s">
        <v>36</v>
      </c>
      <c r="O453" s="18" cm="1">
        <f t="array" aca="1" ref="O453" ca="1">_xll.BDH(D453&amp;" Corp",$N453,$O$98)</f>
        <v>215.553</v>
      </c>
      <c r="P453" s="18" cm="1">
        <f t="array" aca="1" ref="P453" ca="1">_xll.BDH(E453&amp;" Corp",$N453,$O$98)</f>
        <v>207.14500000000001</v>
      </c>
      <c r="Q453" s="18">
        <f t="shared" ref="Q453:Q454" ca="1" si="369">IFERROR(P453-O453,"-")</f>
        <v>-8.407999999999987</v>
      </c>
      <c r="R453" s="18">
        <f t="shared" ref="R453:R454" ca="1" si="370">IFERROR(Q453/H453,"-")</f>
        <v>-7.6824365482233379</v>
      </c>
      <c r="S453" s="18">
        <f t="shared" ref="S453:S454" ca="1" si="371">IFERROR(M453-R453,"-")</f>
        <v>0.89704659111187279</v>
      </c>
      <c r="T453" s="18" cm="1">
        <f t="array" aca="1" ref="T453" ca="1">_xll.BDH(D453&amp;" Corp",$N453,$T$98)</f>
        <v>197.69300000000001</v>
      </c>
      <c r="U453" s="18" cm="1">
        <f t="array" aca="1" ref="U453" ca="1">_xll.BDH(E453&amp;" Corp",$N453,$T$98)</f>
        <v>200.678</v>
      </c>
      <c r="V453" s="18">
        <f t="shared" ref="V453:V454" ca="1" si="372">IFERROR(U453-T453,"-")</f>
        <v>2.9849999999999852</v>
      </c>
      <c r="W453" s="18">
        <f t="shared" ref="W453:W454" ca="1" si="373">IFERROR(V453/H453,"-")</f>
        <v>2.7274111675126766</v>
      </c>
      <c r="X453" s="18">
        <f t="shared" ref="X453:X454" ca="1" si="374">IFERROR(M453-W453,"-")</f>
        <v>-9.5128011246241417</v>
      </c>
    </row>
    <row r="454" spans="1:24" x14ac:dyDescent="0.25">
      <c r="A454" s="5" t="s">
        <v>161</v>
      </c>
      <c r="B454" s="11" t="str">
        <f>C447</f>
        <v>IBESM 2 5/8 PERP nc-24</v>
      </c>
      <c r="C454" s="11" t="str">
        <f>C448</f>
        <v>IBESM 3 1/4 PERP nc-24</v>
      </c>
      <c r="D454" s="22" t="str">
        <f>_xlfn.XLOOKUP(B454,bonds[unique lookup],bonds[ID_ISIN])</f>
        <v>XS1797138960</v>
      </c>
      <c r="E454" s="22" t="str">
        <f>_xlfn.XLOOKUP(C454,bonds[unique lookup],bonds[ID_ISIN])</f>
        <v>XS1890845875</v>
      </c>
      <c r="F454" s="25">
        <f>_xlfn.XLOOKUP(B454,bonds[unique lookup],bonds[nxt_call_dt])</f>
        <v>45377</v>
      </c>
      <c r="G454" s="25">
        <f>_xlfn.XLOOKUP(C454,bonds[unique lookup],bonds[nxt_call_dt])</f>
        <v>45608</v>
      </c>
      <c r="H454" s="17">
        <f t="shared" si="366"/>
        <v>0.62777777777777777</v>
      </c>
      <c r="I454" s="12" t="s">
        <v>35</v>
      </c>
      <c r="J454" s="18" cm="1">
        <f t="array" ref="J454">_xll.BDP(D454&amp;" Corp",$I454)</f>
        <v>205.62537450718247</v>
      </c>
      <c r="K454" s="18" cm="1">
        <f t="array" ref="K454">_xll.BDP(E454&amp;" Corp",$I454)</f>
        <v>214.51604056760806</v>
      </c>
      <c r="L454" s="18">
        <f t="shared" si="367"/>
        <v>8.8906660604255876</v>
      </c>
      <c r="M454" s="18">
        <f t="shared" si="368"/>
        <v>14.162122928111556</v>
      </c>
      <c r="N454" s="12" t="s">
        <v>36</v>
      </c>
      <c r="O454" s="18" cm="1">
        <f t="array" aca="1" ref="O454" ca="1">_xll.BDH(D454&amp;" Corp",$N454,$O$98)</f>
        <v>207.14500000000001</v>
      </c>
      <c r="P454" s="18" cm="1">
        <f t="array" aca="1" ref="P454" ca="1">_xll.BDH(E454&amp;" Corp",$N454,$O$98)</f>
        <v>206.624</v>
      </c>
      <c r="Q454" s="18">
        <f t="shared" ca="1" si="369"/>
        <v>-0.52100000000001501</v>
      </c>
      <c r="R454" s="18">
        <f t="shared" ca="1" si="370"/>
        <v>-0.82991150442480266</v>
      </c>
      <c r="S454" s="18">
        <f t="shared" ca="1" si="371"/>
        <v>14.992034432536359</v>
      </c>
      <c r="T454" s="18" cm="1">
        <f t="array" aca="1" ref="T454" ca="1">_xll.BDH(D454&amp;" Corp",$N454,$T$98)</f>
        <v>200.678</v>
      </c>
      <c r="U454" s="18" cm="1">
        <f t="array" aca="1" ref="U454" ca="1">_xll.BDH(E454&amp;" Corp",$N454,$T$98)</f>
        <v>202.14500000000001</v>
      </c>
      <c r="V454" s="18">
        <f t="shared" ca="1" si="372"/>
        <v>1.467000000000013</v>
      </c>
      <c r="W454" s="18">
        <f t="shared" ca="1" si="373"/>
        <v>2.3368141592920559</v>
      </c>
      <c r="X454" s="18">
        <f t="shared" ca="1" si="374"/>
        <v>11.8253087688195</v>
      </c>
    </row>
    <row r="456" spans="1:24" x14ac:dyDescent="0.25">
      <c r="A456" s="5" t="s">
        <v>164</v>
      </c>
      <c r="B456" s="11" t="str">
        <f>C446</f>
        <v>IBESM 1 7/8 PERP nc-23</v>
      </c>
      <c r="C456" s="11" t="str">
        <f>C448</f>
        <v>IBESM 3 1/4 PERP nc-24</v>
      </c>
      <c r="D456" s="22" t="str">
        <f>_xlfn.XLOOKUP(B456,bonds[unique lookup],bonds[ID_ISIN])</f>
        <v>XS1721244371</v>
      </c>
      <c r="E456" s="22" t="str">
        <f>_xlfn.XLOOKUP(C456,bonds[unique lookup],bonds[ID_ISIN])</f>
        <v>XS1890845875</v>
      </c>
      <c r="F456" s="25">
        <f>_xlfn.XLOOKUP(B456,bonds[unique lookup],bonds[nxt_call_dt])</f>
        <v>44979</v>
      </c>
      <c r="G456" s="25">
        <f>_xlfn.XLOOKUP(C456,bonds[unique lookup],bonds[nxt_call_dt])</f>
        <v>45608</v>
      </c>
      <c r="H456" s="17">
        <f t="shared" ref="H456" si="375">YEARFRAC(F456,G456)</f>
        <v>1.7222222222222223</v>
      </c>
      <c r="I456" s="12" t="s">
        <v>35</v>
      </c>
      <c r="J456" s="18" cm="1">
        <f t="array" ref="J456">_xll.BDP(D456&amp;" Corp",$I456)</f>
        <v>213.05160684913224</v>
      </c>
      <c r="K456" s="18" cm="1">
        <f t="array" ref="K456">_xll.BDP(E456&amp;" Corp",$I456)</f>
        <v>214.51604056760806</v>
      </c>
      <c r="L456" s="18">
        <f t="shared" ref="L456" si="376">K456-J456</f>
        <v>1.4644337184758172</v>
      </c>
      <c r="M456" s="18">
        <f t="shared" ref="M456" si="377">L456/H456</f>
        <v>0.85031635266337768</v>
      </c>
      <c r="N456" s="12" t="s">
        <v>36</v>
      </c>
      <c r="O456" s="18" cm="1">
        <f t="array" aca="1" ref="O456" ca="1">_xll.BDH(D456&amp;" Corp",$N456,$O$98)</f>
        <v>215.553</v>
      </c>
      <c r="P456" s="18" cm="1">
        <f t="array" aca="1" ref="P456" ca="1">_xll.BDH(E456&amp;" Corp",$N456,$O$98)</f>
        <v>206.624</v>
      </c>
      <c r="Q456" s="18">
        <f t="shared" ref="Q456" ca="1" si="378">IFERROR(P456-O456,"-")</f>
        <v>-8.929000000000002</v>
      </c>
      <c r="R456" s="18">
        <f t="shared" ref="R456" ca="1" si="379">IFERROR(Q456/H456,"-")</f>
        <v>-5.184580645161291</v>
      </c>
      <c r="S456" s="18">
        <f t="shared" ref="S456" ca="1" si="380">IFERROR(M456-R456,"-")</f>
        <v>6.0348969978246689</v>
      </c>
      <c r="T456" s="18" cm="1">
        <f t="array" aca="1" ref="T456" ca="1">_xll.BDH(D456&amp;" Corp",$N456,$T$98)</f>
        <v>197.69300000000001</v>
      </c>
      <c r="U456" s="18" cm="1">
        <f t="array" aca="1" ref="U456" ca="1">_xll.BDH(E456&amp;" Corp",$N456,$T$98)</f>
        <v>202.14500000000001</v>
      </c>
      <c r="V456" s="18">
        <f t="shared" ref="V456" ca="1" si="381">IFERROR(U456-T456,"-")</f>
        <v>4.4519999999999982</v>
      </c>
      <c r="W456" s="18">
        <f t="shared" ref="W456" ca="1" si="382">IFERROR(V456/H456,"-")</f>
        <v>2.5850322580645151</v>
      </c>
      <c r="X456" s="18">
        <f t="shared" ref="X456" ca="1" si="383">IFERROR(M456-W456,"-")</f>
        <v>-1.7347159054011374</v>
      </c>
    </row>
    <row r="460" spans="1:24" x14ac:dyDescent="0.25">
      <c r="B460" s="5" t="s">
        <v>2</v>
      </c>
      <c r="C460" s="11" t="s">
        <v>439</v>
      </c>
    </row>
    <row r="461" spans="1:24" ht="11" x14ac:dyDescent="0.3">
      <c r="C461" s="4" t="s">
        <v>146</v>
      </c>
      <c r="D461" s="4" t="s">
        <v>147</v>
      </c>
    </row>
    <row r="462" spans="1:24" x14ac:dyDescent="0.25">
      <c r="C462" s="5" t="e" cm="1">
        <f t="array" ref="C462:C464">_xlfn._xlws.FILTER(bonds[unique lookup],(bonds[ticker]=C460)*(bonds[crncy]="eur"))</f>
        <v>#VALUE!</v>
      </c>
      <c r="D462" s="22" t="e" cm="1">
        <f t="array" ref="D462:D464">_xlfn.XLOOKUP(_xlfn.ANCHORARRAY(C462),bonds[unique lookup],bonds[ID_ISIN])</f>
        <v>#VALUE!</v>
      </c>
    </row>
    <row r="463" spans="1:24" x14ac:dyDescent="0.25">
      <c r="C463" s="5" t="str">
        <v>EDPPL 4.496 04/30/79 nc-24</v>
      </c>
      <c r="D463" s="22" t="str">
        <v>PTEDPKOM0034</v>
      </c>
    </row>
    <row r="464" spans="1:24" x14ac:dyDescent="0.25">
      <c r="C464" s="5" t="str">
        <v>EDPPL 1.7 07/20/80 nc-25</v>
      </c>
      <c r="D464" s="22" t="str">
        <v>PTEDPLOM0017</v>
      </c>
    </row>
    <row r="465" spans="1:24" x14ac:dyDescent="0.25">
      <c r="D465" s="22"/>
    </row>
    <row r="466" spans="1:24" x14ac:dyDescent="0.25">
      <c r="D466" s="22"/>
    </row>
    <row r="467" spans="1:24" x14ac:dyDescent="0.25">
      <c r="D467" s="22"/>
    </row>
    <row r="468" spans="1:24" x14ac:dyDescent="0.25">
      <c r="D468" s="22"/>
    </row>
    <row r="469" spans="1:24" x14ac:dyDescent="0.25">
      <c r="A469" s="5" t="s">
        <v>161</v>
      </c>
      <c r="B469" s="11" t="e">
        <f>C462</f>
        <v>#VALUE!</v>
      </c>
      <c r="C469" s="11" t="str">
        <f>C463</f>
        <v>EDPPL 4.496 04/30/79 nc-24</v>
      </c>
      <c r="D469" s="22" t="e">
        <f>_xlfn.XLOOKUP(B469,bonds[unique lookup],bonds[ID_ISIN])</f>
        <v>#VALUE!</v>
      </c>
      <c r="E469" s="22" t="str">
        <f>_xlfn.XLOOKUP(C469,bonds[unique lookup],bonds[ID_ISIN])</f>
        <v>PTEDPKOM0034</v>
      </c>
      <c r="F469" s="25" t="e">
        <f>_xlfn.XLOOKUP(B469,bonds[unique lookup],bonds[nxt_call_dt])</f>
        <v>#VALUE!</v>
      </c>
      <c r="G469" s="25">
        <f>_xlfn.XLOOKUP(C469,bonds[unique lookup],bonds[nxt_call_dt])</f>
        <v>45321</v>
      </c>
      <c r="H469" s="17" t="e">
        <f t="shared" ref="H469:H470" si="384">YEARFRAC(F469,G469)</f>
        <v>#VALUE!</v>
      </c>
      <c r="I469" s="12" t="s">
        <v>35</v>
      </c>
      <c r="J469" s="18" t="e" cm="1">
        <f t="array" ref="J469">_xll.BDP(D469&amp;" Corp",$I469)</f>
        <v>#VALUE!</v>
      </c>
      <c r="K469" s="18" cm="1">
        <f t="array" ref="K469">_xll.BDP(E469&amp;" Corp",$I469)</f>
        <v>290.14796052099115</v>
      </c>
      <c r="L469" s="18" t="e">
        <f t="shared" ref="L469:L470" si="385">K469-J469</f>
        <v>#VALUE!</v>
      </c>
      <c r="M469" s="18" t="str">
        <f t="shared" ref="M469:M470" si="386">IFERROR(L469/H469,"-")</f>
        <v>-</v>
      </c>
      <c r="N469" s="12" t="s">
        <v>36</v>
      </c>
      <c r="O469" s="18" t="e" cm="1">
        <f t="array" aca="1" ref="O469" ca="1">_xll.BDH(D469&amp;" Corp",$N469,$O$98)</f>
        <v>#VALUE!</v>
      </c>
      <c r="P469" s="18" cm="1">
        <f t="array" aca="1" ref="P469" ca="1">_xll.BDH(E469&amp;" Corp",$N469,$O$98)</f>
        <v>281.86900000000003</v>
      </c>
      <c r="Q469" s="18" t="str">
        <f t="shared" ref="Q469:Q470" ca="1" si="387">IFERROR(P469-O469,"-")</f>
        <v>-</v>
      </c>
      <c r="R469" s="18" t="str">
        <f t="shared" ref="R469:R470" ca="1" si="388">IFERROR(Q469/H469,"-")</f>
        <v>-</v>
      </c>
      <c r="S469" s="18" t="str">
        <f t="shared" ref="S469:S470" ca="1" si="389">IFERROR(M469-R469,"-")</f>
        <v>-</v>
      </c>
      <c r="T469" s="18" t="e" cm="1">
        <f t="array" aca="1" ref="T469" ca="1">_xll.BDH(D469&amp;" Corp",$N469,$T$98)</f>
        <v>#VALUE!</v>
      </c>
      <c r="U469" s="18" cm="1">
        <f t="array" aca="1" ref="U469" ca="1">_xll.BDH(E469&amp;" Corp",$N469,$T$98)</f>
        <v>324.60399999999998</v>
      </c>
      <c r="V469" s="18" t="str">
        <f t="shared" ref="V469:V470" ca="1" si="390">IFERROR(U469-T469,"-")</f>
        <v>-</v>
      </c>
      <c r="W469" s="18" t="str">
        <f t="shared" ref="W469:W470" ca="1" si="391">IFERROR(V469/H469,"-")</f>
        <v>-</v>
      </c>
      <c r="X469" s="18" t="str">
        <f t="shared" ref="X469:X470" ca="1" si="392">IFERROR(M469-W469,"-")</f>
        <v>-</v>
      </c>
    </row>
    <row r="470" spans="1:24" x14ac:dyDescent="0.25">
      <c r="A470" s="5" t="s">
        <v>161</v>
      </c>
      <c r="B470" s="11" t="str">
        <f>C463</f>
        <v>EDPPL 4.496 04/30/79 nc-24</v>
      </c>
      <c r="C470" s="11" t="str">
        <f>C464</f>
        <v>EDPPL 1.7 07/20/80 nc-25</v>
      </c>
      <c r="D470" s="22" t="str">
        <f>_xlfn.XLOOKUP(B470,bonds[unique lookup],bonds[ID_ISIN])</f>
        <v>PTEDPKOM0034</v>
      </c>
      <c r="E470" s="22" t="str">
        <f>_xlfn.XLOOKUP(C470,bonds[unique lookup],bonds[ID_ISIN])</f>
        <v>PTEDPLOM0017</v>
      </c>
      <c r="F470" s="25">
        <f>_xlfn.XLOOKUP(B470,bonds[unique lookup],bonds[nxt_call_dt])</f>
        <v>45321</v>
      </c>
      <c r="G470" s="25">
        <f>_xlfn.XLOOKUP(C470,bonds[unique lookup],bonds[nxt_call_dt])</f>
        <v>45767</v>
      </c>
      <c r="H470" s="17">
        <f t="shared" si="384"/>
        <v>1.2222222222222223</v>
      </c>
      <c r="I470" s="12" t="s">
        <v>35</v>
      </c>
      <c r="J470" s="18" cm="1">
        <f t="array" ref="J470">_xll.BDP(D470&amp;" Corp",$I470)</f>
        <v>290.14796052099115</v>
      </c>
      <c r="K470" s="18" cm="1">
        <f t="array" ref="K470">_xll.BDP(E470&amp;" Corp",$I470)</f>
        <v>326.13138702224421</v>
      </c>
      <c r="L470" s="18">
        <f t="shared" si="385"/>
        <v>35.983426501253064</v>
      </c>
      <c r="M470" s="18">
        <f t="shared" si="386"/>
        <v>29.440985319207051</v>
      </c>
      <c r="N470" s="12" t="s">
        <v>36</v>
      </c>
      <c r="O470" s="18" cm="1">
        <f t="array" aca="1" ref="O470" ca="1">_xll.BDH(D470&amp;" Corp",$N470,$O$98)</f>
        <v>281.86900000000003</v>
      </c>
      <c r="P470" s="18" cm="1">
        <f t="array" aca="1" ref="P470" ca="1">_xll.BDH(E470&amp;" Corp",$N470,$O$98)</f>
        <v>203.56899999999999</v>
      </c>
      <c r="Q470" s="18">
        <f t="shared" ca="1" si="387"/>
        <v>-78.30000000000004</v>
      </c>
      <c r="R470" s="18">
        <f t="shared" ca="1" si="388"/>
        <v>-64.063636363636391</v>
      </c>
      <c r="S470" s="18">
        <f t="shared" ca="1" si="389"/>
        <v>93.504621682843435</v>
      </c>
      <c r="T470" s="18" cm="1">
        <f t="array" aca="1" ref="T470" ca="1">_xll.BDH(D470&amp;" Corp",$N470,$T$98)</f>
        <v>324.60399999999998</v>
      </c>
      <c r="U470" s="18" cm="1">
        <f t="array" aca="1" ref="U470" ca="1">_xll.BDH(E470&amp;" Corp",$N470,$T$98)</f>
        <v>209.71100000000001</v>
      </c>
      <c r="V470" s="18">
        <f t="shared" ca="1" si="390"/>
        <v>-114.89299999999997</v>
      </c>
      <c r="W470" s="18">
        <f t="shared" ca="1" si="391"/>
        <v>-94.003363636363602</v>
      </c>
      <c r="X470" s="18">
        <f t="shared" ca="1" si="392"/>
        <v>123.44434895557066</v>
      </c>
    </row>
    <row r="472" spans="1:24" x14ac:dyDescent="0.25">
      <c r="A472" s="5" t="s">
        <v>164</v>
      </c>
      <c r="B472" s="11" t="e">
        <f>C462</f>
        <v>#VALUE!</v>
      </c>
      <c r="C472" s="11" t="str">
        <f>C464</f>
        <v>EDPPL 1.7 07/20/80 nc-25</v>
      </c>
      <c r="D472" s="22" t="e">
        <f>_xlfn.XLOOKUP(B472,bonds[unique lookup],bonds[ID_ISIN])</f>
        <v>#VALUE!</v>
      </c>
      <c r="E472" s="22" t="str">
        <f>_xlfn.XLOOKUP(C472,bonds[unique lookup],bonds[ID_ISIN])</f>
        <v>PTEDPLOM0017</v>
      </c>
      <c r="F472" s="25" t="e">
        <f>_xlfn.XLOOKUP(B472,bonds[unique lookup],bonds[nxt_call_dt])</f>
        <v>#VALUE!</v>
      </c>
      <c r="G472" s="25">
        <f>_xlfn.XLOOKUP(C472,bonds[unique lookup],bonds[nxt_call_dt])</f>
        <v>45767</v>
      </c>
      <c r="H472" s="17" t="e">
        <f t="shared" ref="H472" si="393">YEARFRAC(F472,G472)</f>
        <v>#VALUE!</v>
      </c>
      <c r="I472" s="12" t="s">
        <v>35</v>
      </c>
      <c r="J472" s="18" t="e" cm="1">
        <f t="array" ref="J472">_xll.BDP(D472&amp;" Corp",$I472)</f>
        <v>#VALUE!</v>
      </c>
      <c r="K472" s="18" cm="1">
        <f t="array" ref="K472">_xll.BDP(E472&amp;" Corp",$I472)</f>
        <v>326.13138702224421</v>
      </c>
      <c r="L472" s="18" t="e">
        <f t="shared" ref="L472" si="394">K472-J472</f>
        <v>#VALUE!</v>
      </c>
      <c r="M472" s="18" t="e">
        <f t="shared" ref="M472" si="395">L472/H472</f>
        <v>#VALUE!</v>
      </c>
      <c r="N472" s="12" t="s">
        <v>36</v>
      </c>
      <c r="O472" s="18" t="e" cm="1">
        <f t="array" aca="1" ref="O472" ca="1">_xll.BDH(D472&amp;" Corp",$N472,$O$98)</f>
        <v>#VALUE!</v>
      </c>
      <c r="P472" s="18" cm="1">
        <f t="array" aca="1" ref="P472" ca="1">_xll.BDH(E472&amp;" Corp",$N472,$O$98)</f>
        <v>203.56899999999999</v>
      </c>
      <c r="Q472" s="18" t="str">
        <f t="shared" ref="Q472" ca="1" si="396">IFERROR(P472-O472,"-")</f>
        <v>-</v>
      </c>
      <c r="R472" s="18" t="str">
        <f t="shared" ref="R472" ca="1" si="397">IFERROR(Q472/H472,"-")</f>
        <v>-</v>
      </c>
      <c r="S472" s="18" t="str">
        <f t="shared" ref="S472" ca="1" si="398">IFERROR(M472-R472,"-")</f>
        <v>-</v>
      </c>
      <c r="T472" s="18" t="e" cm="1">
        <f t="array" aca="1" ref="T472" ca="1">_xll.BDH(D472&amp;" Corp",$N472,$T$98)</f>
        <v>#VALUE!</v>
      </c>
      <c r="U472" s="18" cm="1">
        <f t="array" aca="1" ref="U472" ca="1">_xll.BDH(E472&amp;" Corp",$N472,$T$98)</f>
        <v>209.71100000000001</v>
      </c>
      <c r="V472" s="18" t="str">
        <f t="shared" ref="V472" ca="1" si="399">IFERROR(U472-T472,"-")</f>
        <v>-</v>
      </c>
      <c r="W472" s="18" t="str">
        <f t="shared" ref="W472" ca="1" si="400">IFERROR(V472/H472,"-")</f>
        <v>-</v>
      </c>
      <c r="X472" s="18" t="str">
        <f t="shared" ref="X472" ca="1" si="401">IFERROR(M472-W472,"-")</f>
        <v>-</v>
      </c>
    </row>
    <row r="476" spans="1:24" x14ac:dyDescent="0.25">
      <c r="B476" s="5" t="s">
        <v>2</v>
      </c>
      <c r="C476" s="11" t="s">
        <v>441</v>
      </c>
    </row>
    <row r="477" spans="1:24" ht="11" x14ac:dyDescent="0.3">
      <c r="C477" s="4" t="s">
        <v>146</v>
      </c>
      <c r="D477" s="4" t="s">
        <v>147</v>
      </c>
    </row>
    <row r="478" spans="1:24" x14ac:dyDescent="0.25">
      <c r="C478" s="5" t="e" cm="1">
        <f t="array" ref="C478:C480">_xlfn._xlws.FILTER(bonds[unique lookup],(bonds[ticker]=C476)*(bonds[crncy]="eur"))</f>
        <v>#VALUE!</v>
      </c>
      <c r="D478" s="22" t="e" cm="1">
        <f t="array" ref="D478:D480">_xlfn.XLOOKUP(_xlfn.ANCHORARRAY(C478),bonds[unique lookup],bonds[ID_ISIN])</f>
        <v>#VALUE!</v>
      </c>
    </row>
    <row r="479" spans="1:24" x14ac:dyDescent="0.25">
      <c r="C479" s="5" t="str">
        <v>ACFP 4 3/8 PERP nc-24</v>
      </c>
      <c r="D479" s="22" t="str">
        <v>FR0013399177</v>
      </c>
    </row>
    <row r="480" spans="1:24" x14ac:dyDescent="0.25">
      <c r="C480" s="5" t="str">
        <v>ACFP 2 5/8 PERP nc-25</v>
      </c>
      <c r="D480" s="22" t="str">
        <v>FR0013457157</v>
      </c>
    </row>
    <row r="481" spans="1:24" x14ac:dyDescent="0.25">
      <c r="D481" s="22"/>
    </row>
    <row r="482" spans="1:24" x14ac:dyDescent="0.25">
      <c r="D482" s="22"/>
    </row>
    <row r="483" spans="1:24" x14ac:dyDescent="0.25">
      <c r="D483" s="22"/>
    </row>
    <row r="484" spans="1:24" x14ac:dyDescent="0.25">
      <c r="D484" s="22"/>
    </row>
    <row r="485" spans="1:24" x14ac:dyDescent="0.25">
      <c r="A485" s="5" t="s">
        <v>161</v>
      </c>
      <c r="B485" s="11" t="e">
        <f>C478</f>
        <v>#VALUE!</v>
      </c>
      <c r="C485" s="11" t="str">
        <f>C479</f>
        <v>ACFP 4 3/8 PERP nc-24</v>
      </c>
      <c r="D485" s="22" t="e">
        <f>_xlfn.XLOOKUP(B485,bonds[unique lookup],bonds[ID_ISIN])</f>
        <v>#VALUE!</v>
      </c>
      <c r="E485" s="22" t="str">
        <f>_xlfn.XLOOKUP(C485,bonds[unique lookup],bonds[ID_ISIN])</f>
        <v>FR0013399177</v>
      </c>
      <c r="F485" s="25" t="e">
        <f>_xlfn.XLOOKUP(B485,bonds[unique lookup],bonds[nxt_call_dt])</f>
        <v>#VALUE!</v>
      </c>
      <c r="G485" s="25">
        <f>_xlfn.XLOOKUP(C485,bonds[unique lookup],bonds[nxt_call_dt])</f>
        <v>45321</v>
      </c>
      <c r="H485" s="17" t="e">
        <f t="shared" ref="H485:H486" si="402">YEARFRAC(F485,G485)</f>
        <v>#VALUE!</v>
      </c>
      <c r="I485" s="12" t="s">
        <v>35</v>
      </c>
      <c r="J485" s="18" t="e" cm="1">
        <f t="array" ref="J485">_xll.BDP(D485&amp;" Corp",$I485)</f>
        <v>#VALUE!</v>
      </c>
      <c r="K485" s="18" cm="1">
        <f t="array" ref="K485">_xll.BDP(E485&amp;" Corp",$I485)</f>
        <v>694.07454242438882</v>
      </c>
      <c r="L485" s="18" t="e">
        <f t="shared" ref="L485:L486" si="403">K485-J485</f>
        <v>#VALUE!</v>
      </c>
      <c r="M485" s="18" t="str">
        <f t="shared" ref="M485:M486" si="404">IFERROR(L485/H485,"-")</f>
        <v>-</v>
      </c>
      <c r="N485" s="12" t="s">
        <v>36</v>
      </c>
      <c r="O485" s="18" t="e" cm="1">
        <f t="array" aca="1" ref="O485" ca="1">_xll.BDH(D485&amp;" Corp",$N485,$O$98)</f>
        <v>#VALUE!</v>
      </c>
      <c r="P485" s="18" cm="1">
        <f t="array" aca="1" ref="P485" ca="1">_xll.BDH(E485&amp;" Corp",$N485,$O$98)</f>
        <v>744.34400000000005</v>
      </c>
      <c r="Q485" s="18" t="str">
        <f t="shared" ref="Q485:Q486" ca="1" si="405">IFERROR(P485-O485,"-")</f>
        <v>-</v>
      </c>
      <c r="R485" s="18" t="str">
        <f t="shared" ref="R485:R486" ca="1" si="406">IFERROR(Q485/H485,"-")</f>
        <v>-</v>
      </c>
      <c r="S485" s="18" t="str">
        <f t="shared" ref="S485:S486" ca="1" si="407">IFERROR(M485-R485,"-")</f>
        <v>-</v>
      </c>
      <c r="T485" s="18" t="e" cm="1">
        <f t="array" aca="1" ref="T485" ca="1">_xll.BDH(D485&amp;" Corp",$N485,$T$98)</f>
        <v>#VALUE!</v>
      </c>
      <c r="U485" s="18" cm="1">
        <f t="array" aca="1" ref="U485" ca="1">_xll.BDH(E485&amp;" Corp",$N485,$T$98)</f>
        <v>660.14400000000001</v>
      </c>
      <c r="V485" s="18" t="str">
        <f t="shared" ref="V485:V486" ca="1" si="408">IFERROR(U485-T485,"-")</f>
        <v>-</v>
      </c>
      <c r="W485" s="18" t="str">
        <f t="shared" ref="W485:W486" ca="1" si="409">IFERROR(V485/H485,"-")</f>
        <v>-</v>
      </c>
      <c r="X485" s="18" t="str">
        <f t="shared" ref="X485:X486" ca="1" si="410">IFERROR(M485-W485,"-")</f>
        <v>-</v>
      </c>
    </row>
    <row r="486" spans="1:24" x14ac:dyDescent="0.25">
      <c r="A486" s="5" t="s">
        <v>161</v>
      </c>
      <c r="B486" s="11" t="str">
        <f>C479</f>
        <v>ACFP 4 3/8 PERP nc-24</v>
      </c>
      <c r="C486" s="11" t="str">
        <f>C480</f>
        <v>ACFP 2 5/8 PERP nc-25</v>
      </c>
      <c r="D486" s="22" t="str">
        <f>_xlfn.XLOOKUP(B486,bonds[unique lookup],bonds[ID_ISIN])</f>
        <v>FR0013399177</v>
      </c>
      <c r="E486" s="22" t="str">
        <f>_xlfn.XLOOKUP(C486,bonds[unique lookup],bonds[ID_ISIN])</f>
        <v>FR0013457157</v>
      </c>
      <c r="F486" s="25">
        <f>_xlfn.XLOOKUP(B486,bonds[unique lookup],bonds[nxt_call_dt])</f>
        <v>45321</v>
      </c>
      <c r="G486" s="25">
        <f>_xlfn.XLOOKUP(C486,bonds[unique lookup],bonds[nxt_call_dt])</f>
        <v>45687</v>
      </c>
      <c r="H486" s="17">
        <f t="shared" si="402"/>
        <v>1</v>
      </c>
      <c r="I486" s="12" t="s">
        <v>35</v>
      </c>
      <c r="J486" s="18" cm="1">
        <f t="array" ref="J486">_xll.BDP(D486&amp;" Corp",$I486)</f>
        <v>694.07454242438882</v>
      </c>
      <c r="K486" s="18" cm="1">
        <f t="array" ref="K486">_xll.BDP(E486&amp;" Corp",$I486)</f>
        <v>740.15026195502458</v>
      </c>
      <c r="L486" s="18">
        <f t="shared" si="403"/>
        <v>46.075719530635752</v>
      </c>
      <c r="M486" s="18">
        <f t="shared" si="404"/>
        <v>46.075719530635752</v>
      </c>
      <c r="N486" s="12" t="s">
        <v>36</v>
      </c>
      <c r="O486" s="18" cm="1">
        <f t="array" aca="1" ref="O486" ca="1">_xll.BDH(D486&amp;" Corp",$N486,$O$98)</f>
        <v>744.34400000000005</v>
      </c>
      <c r="P486" s="18" cm="1">
        <f t="array" aca="1" ref="P486" ca="1">_xll.BDH(E486&amp;" Corp",$N486,$O$98)</f>
        <v>756.20100000000002</v>
      </c>
      <c r="Q486" s="18">
        <f t="shared" ca="1" si="405"/>
        <v>11.856999999999971</v>
      </c>
      <c r="R486" s="18">
        <f t="shared" ca="1" si="406"/>
        <v>11.856999999999971</v>
      </c>
      <c r="S486" s="18">
        <f t="shared" ca="1" si="407"/>
        <v>34.218719530635781</v>
      </c>
      <c r="T486" s="18" cm="1">
        <f t="array" aca="1" ref="T486" ca="1">_xll.BDH(D486&amp;" Corp",$N486,$T$98)</f>
        <v>660.14400000000001</v>
      </c>
      <c r="U486" s="18" cm="1">
        <f t="array" aca="1" ref="U486" ca="1">_xll.BDH(E486&amp;" Corp",$N486,$T$98)</f>
        <v>675.84699999999998</v>
      </c>
      <c r="V486" s="18">
        <f t="shared" ca="1" si="408"/>
        <v>15.702999999999975</v>
      </c>
      <c r="W486" s="18">
        <f t="shared" ca="1" si="409"/>
        <v>15.702999999999975</v>
      </c>
      <c r="X486" s="18">
        <f t="shared" ca="1" si="410"/>
        <v>30.372719530635777</v>
      </c>
    </row>
    <row r="488" spans="1:24" x14ac:dyDescent="0.25">
      <c r="A488" s="5" t="s">
        <v>164</v>
      </c>
      <c r="B488" s="11" t="e">
        <f>C478</f>
        <v>#VALUE!</v>
      </c>
      <c r="C488" s="11" t="str">
        <f>C480</f>
        <v>ACFP 2 5/8 PERP nc-25</v>
      </c>
      <c r="D488" s="22" t="e">
        <f>_xlfn.XLOOKUP(B488,bonds[unique lookup],bonds[ID_ISIN])</f>
        <v>#VALUE!</v>
      </c>
      <c r="E488" s="22" t="str">
        <f>_xlfn.XLOOKUP(C488,bonds[unique lookup],bonds[ID_ISIN])</f>
        <v>FR0013457157</v>
      </c>
      <c r="F488" s="25" t="e">
        <f>_xlfn.XLOOKUP(B488,bonds[unique lookup],bonds[nxt_call_dt])</f>
        <v>#VALUE!</v>
      </c>
      <c r="G488" s="25">
        <f>_xlfn.XLOOKUP(C488,bonds[unique lookup],bonds[nxt_call_dt])</f>
        <v>45687</v>
      </c>
      <c r="H488" s="17" t="e">
        <f t="shared" ref="H488" si="411">YEARFRAC(F488,G488)</f>
        <v>#VALUE!</v>
      </c>
      <c r="I488" s="12" t="s">
        <v>35</v>
      </c>
      <c r="J488" s="18" t="e" cm="1">
        <f t="array" ref="J488">_xll.BDP(D488&amp;" Corp",$I488)</f>
        <v>#VALUE!</v>
      </c>
      <c r="K488" s="18" cm="1">
        <f t="array" ref="K488">_xll.BDP(E488&amp;" Corp",$I488)</f>
        <v>740.15026195502458</v>
      </c>
      <c r="L488" s="18" t="e">
        <f t="shared" ref="L488" si="412">K488-J488</f>
        <v>#VALUE!</v>
      </c>
      <c r="M488" s="18" t="e">
        <f t="shared" ref="M488" si="413">L488/H488</f>
        <v>#VALUE!</v>
      </c>
      <c r="N488" s="12" t="s">
        <v>36</v>
      </c>
      <c r="O488" s="18" t="e" cm="1">
        <f t="array" aca="1" ref="O488" ca="1">_xll.BDH(D488&amp;" Corp",$N488,$O$98)</f>
        <v>#VALUE!</v>
      </c>
      <c r="P488" s="18" cm="1">
        <f t="array" aca="1" ref="P488" ca="1">_xll.BDH(E488&amp;" Corp",$N488,$O$98)</f>
        <v>756.20100000000002</v>
      </c>
      <c r="Q488" s="18" t="str">
        <f t="shared" ref="Q488" ca="1" si="414">IFERROR(P488-O488,"-")</f>
        <v>-</v>
      </c>
      <c r="R488" s="18" t="str">
        <f t="shared" ref="R488" ca="1" si="415">IFERROR(Q488/H488,"-")</f>
        <v>-</v>
      </c>
      <c r="S488" s="18" t="str">
        <f t="shared" ref="S488" ca="1" si="416">IFERROR(M488-R488,"-")</f>
        <v>-</v>
      </c>
      <c r="T488" s="18" t="e" cm="1">
        <f t="array" aca="1" ref="T488" ca="1">_xll.BDH(D488&amp;" Corp",$N488,$T$98)</f>
        <v>#VALUE!</v>
      </c>
      <c r="U488" s="18" cm="1">
        <f t="array" aca="1" ref="U488" ca="1">_xll.BDH(E488&amp;" Corp",$N488,$T$98)</f>
        <v>675.84699999999998</v>
      </c>
      <c r="V488" s="18" t="str">
        <f t="shared" ref="V488" ca="1" si="417">IFERROR(U488-T488,"-")</f>
        <v>-</v>
      </c>
      <c r="W488" s="18" t="str">
        <f t="shared" ref="W488" ca="1" si="418">IFERROR(V488/H488,"-")</f>
        <v>-</v>
      </c>
      <c r="X488" s="18" t="str">
        <f t="shared" ref="X488" ca="1" si="419">IFERROR(M488-W488,"-")</f>
        <v>-</v>
      </c>
    </row>
  </sheetData>
  <conditionalFormatting sqref="M21:M30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{B3888FCE-4F34-4B41-9C6B-879DCCF8C29B}</x14:id>
        </ext>
      </extLst>
    </cfRule>
  </conditionalFormatting>
  <conditionalFormatting sqref="M64:M70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{1B3D0C89-53EA-4896-BC5D-85A11C6F8D2A}</x14:id>
        </ext>
      </extLst>
    </cfRule>
  </conditionalFormatting>
  <conditionalFormatting sqref="M101:M105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{70DA1CC7-E9F1-41A7-82D1-67F6BBCF4342}</x14:id>
        </ext>
      </extLst>
    </cfRule>
  </conditionalFormatting>
  <conditionalFormatting sqref="L5:L14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{887FAE31-B3EF-4185-84ED-3F6B84ACAE4E}</x14:id>
        </ext>
      </extLst>
    </cfRule>
  </conditionalFormatting>
  <conditionalFormatting sqref="O5:O14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{5A78B79D-F13D-474B-9656-7B437CE3E395}</x14:id>
        </ext>
      </extLst>
    </cfRule>
  </conditionalFormatting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3888FCE-4F34-4B41-9C6B-879DCCF8C29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M21:M30</xm:sqref>
        </x14:conditionalFormatting>
        <x14:conditionalFormatting xmlns:xm="http://schemas.microsoft.com/office/excel/2006/main">
          <x14:cfRule type="dataBar" id="{1B3D0C89-53EA-4896-BC5D-85A11C6F8D2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M64:M70</xm:sqref>
        </x14:conditionalFormatting>
        <x14:conditionalFormatting xmlns:xm="http://schemas.microsoft.com/office/excel/2006/main">
          <x14:cfRule type="dataBar" id="{70DA1CC7-E9F1-41A7-82D1-67F6BBCF434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M101:M105</xm:sqref>
        </x14:conditionalFormatting>
        <x14:conditionalFormatting xmlns:xm="http://schemas.microsoft.com/office/excel/2006/main">
          <x14:cfRule type="dataBar" id="{887FAE31-B3EF-4185-84ED-3F6B84ACAE4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L5:L14</xm:sqref>
        </x14:conditionalFormatting>
        <x14:conditionalFormatting xmlns:xm="http://schemas.microsoft.com/office/excel/2006/main">
          <x14:cfRule type="dataBar" id="{5A78B79D-F13D-474B-9656-7B437CE3E395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O5:O14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D554E5A-5604-472D-A22A-FF8C3C669EC5}">
          <x14:formula1>
            <xm:f>tkrBBG!$X:$X</xm:f>
          </x14:formula1>
          <xm:sqref>I21:I30 N21:N30 I40:I41 N40:N41 I43 N43 I64:I70 N64:N70 I75:I76 N75:N76 I78 N78 I101:I105 N101:N105 I110 N110 I112 N112 N130:N134 I130:I134 I139 N139 I141 N141 N162:N165 I162:I165 I170 N170 I172 N172 N192:N195 I192:I195 I200 N200 I202 N202 N217:N220 I217:I220 I226 N226 N241:N243 I241:I243 I249 N249 N264:N266 I264:I266 I272 N272 N288:N290 I288:I290 I296 N296 N311:N313 I311:I313 I319 N319 N334:N336 I334:I336 I342 N342 N356:N358 I356:I358 I364 N364 N380:N381 I380:I381 I383 N383 N399:N400 I399:I400 I402 N402 N418:N419 I418:I419 I421 N421 N436:N437 I436:I437 I439 N439 N453:N454 I453:I454 I456 N456 N469:N470 I469:I470 I472 N472 N485:N486 I485:I486 I488 N488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8F9F1-1EDA-4EA1-B235-C6ACA95144D2}">
  <sheetPr>
    <tabColor theme="8"/>
  </sheetPr>
  <dimension ref="A1:I234"/>
  <sheetViews>
    <sheetView workbookViewId="0">
      <selection activeCell="C23" sqref="C23"/>
    </sheetView>
  </sheetViews>
  <sheetFormatPr defaultColWidth="8.7265625" defaultRowHeight="10.5" x14ac:dyDescent="0.25"/>
  <cols>
    <col min="1" max="2" width="8.7265625" style="5"/>
    <col min="3" max="3" width="21.08984375" style="5" customWidth="1"/>
    <col min="4" max="4" width="21.26953125" style="5" customWidth="1"/>
    <col min="5" max="16384" width="8.7265625" style="5"/>
  </cols>
  <sheetData>
    <row r="1" spans="1:2" ht="11" x14ac:dyDescent="0.3">
      <c r="A1" s="4" t="s">
        <v>0</v>
      </c>
      <c r="B1" s="4" t="s">
        <v>1</v>
      </c>
    </row>
    <row r="2" spans="1:2" x14ac:dyDescent="0.25">
      <c r="A2" s="5" t="str" cm="1">
        <f t="array" ref="A2:A23">_xlfn.ANCHORARRAY(issuers!I5)</f>
        <v>VW</v>
      </c>
      <c r="B2" s="5" cm="1">
        <f t="array" ref="B2:B23">_xlfn.ANCHORARRAY(issuers!J5)</f>
        <v>11</v>
      </c>
    </row>
    <row r="3" spans="1:2" x14ac:dyDescent="0.25">
      <c r="A3" s="5" t="str">
        <v>TELEFO</v>
      </c>
      <c r="B3" s="5">
        <v>8</v>
      </c>
    </row>
    <row r="4" spans="1:2" x14ac:dyDescent="0.25">
      <c r="A4" s="5" t="str">
        <v>TOTAL</v>
      </c>
      <c r="B4" s="5">
        <v>6</v>
      </c>
    </row>
    <row r="5" spans="1:2" x14ac:dyDescent="0.25">
      <c r="A5" s="5" t="str">
        <v>ENBW</v>
      </c>
      <c r="B5" s="5">
        <v>6</v>
      </c>
    </row>
    <row r="6" spans="1:2" x14ac:dyDescent="0.25">
      <c r="A6" s="5" t="str">
        <v>ORAFP</v>
      </c>
      <c r="B6" s="5">
        <v>5</v>
      </c>
    </row>
    <row r="7" spans="1:2" x14ac:dyDescent="0.25">
      <c r="A7" s="5" t="str">
        <v>ENGIFP</v>
      </c>
      <c r="B7" s="5">
        <v>5</v>
      </c>
    </row>
    <row r="8" spans="1:2" x14ac:dyDescent="0.25">
      <c r="A8" s="5" t="str">
        <v>EDF</v>
      </c>
      <c r="B8" s="5">
        <v>5</v>
      </c>
    </row>
    <row r="9" spans="1:2" x14ac:dyDescent="0.25">
      <c r="A9" s="5" t="str">
        <v>SOLBBB</v>
      </c>
      <c r="B9" s="5">
        <v>4</v>
      </c>
    </row>
    <row r="10" spans="1:2" x14ac:dyDescent="0.25">
      <c r="A10" s="5" t="str">
        <v>BAYNGR</v>
      </c>
      <c r="B10" s="5">
        <v>4</v>
      </c>
    </row>
    <row r="11" spans="1:2" x14ac:dyDescent="0.25">
      <c r="A11" s="5" t="str">
        <v>MRKGR</v>
      </c>
      <c r="B11" s="5">
        <v>4</v>
      </c>
    </row>
    <row r="12" spans="1:2" x14ac:dyDescent="0.25">
      <c r="A12" s="5" t="str">
        <v>REPSM</v>
      </c>
      <c r="B12" s="5">
        <v>4</v>
      </c>
    </row>
    <row r="13" spans="1:2" x14ac:dyDescent="0.25">
      <c r="A13" s="5" t="str">
        <v>ENELIM</v>
      </c>
      <c r="B13" s="5">
        <v>4</v>
      </c>
    </row>
    <row r="14" spans="1:2" x14ac:dyDescent="0.25">
      <c r="A14" s="5" t="str">
        <v>ORSTED</v>
      </c>
      <c r="B14" s="5">
        <v>4</v>
      </c>
    </row>
    <row r="15" spans="1:2" x14ac:dyDescent="0.25">
      <c r="A15" s="5" t="str">
        <v>AKEFP</v>
      </c>
      <c r="B15" s="5">
        <v>3</v>
      </c>
    </row>
    <row r="16" spans="1:2" x14ac:dyDescent="0.25">
      <c r="A16" s="5" t="str">
        <v>ERFFP</v>
      </c>
      <c r="B16" s="5">
        <v>3</v>
      </c>
    </row>
    <row r="17" spans="1:9" x14ac:dyDescent="0.25">
      <c r="A17" s="5" t="str">
        <v>OMVAV</v>
      </c>
      <c r="B17" s="5">
        <v>3</v>
      </c>
    </row>
    <row r="18" spans="1:9" x14ac:dyDescent="0.25">
      <c r="A18" s="5" t="str">
        <v>SEVFP</v>
      </c>
      <c r="B18" s="5">
        <v>3</v>
      </c>
    </row>
    <row r="19" spans="1:9" x14ac:dyDescent="0.25">
      <c r="A19" s="5" t="str">
        <v>IBESM</v>
      </c>
      <c r="B19" s="5">
        <v>3</v>
      </c>
    </row>
    <row r="20" spans="1:9" x14ac:dyDescent="0.25">
      <c r="A20" s="5" t="str">
        <v>EDPPL</v>
      </c>
      <c r="B20" s="5">
        <v>3</v>
      </c>
    </row>
    <row r="21" spans="1:9" x14ac:dyDescent="0.25">
      <c r="A21" s="5" t="str">
        <v>ACFP</v>
      </c>
      <c r="B21" s="5">
        <v>3</v>
      </c>
    </row>
    <row r="22" spans="1:9" x14ac:dyDescent="0.25">
      <c r="A22" s="5" t="str">
        <v>ARNDTN</v>
      </c>
      <c r="B22" s="5">
        <v>3</v>
      </c>
    </row>
    <row r="23" spans="1:9" x14ac:dyDescent="0.25">
      <c r="A23" s="5" t="str">
        <v>GYCGR</v>
      </c>
      <c r="B23" s="5">
        <v>3</v>
      </c>
    </row>
    <row r="27" spans="1:9" ht="33" x14ac:dyDescent="0.3">
      <c r="C27" s="19" t="s">
        <v>415</v>
      </c>
      <c r="D27" s="19" t="s">
        <v>416</v>
      </c>
      <c r="E27" s="19" t="s">
        <v>3</v>
      </c>
      <c r="F27" s="19" t="s">
        <v>4</v>
      </c>
      <c r="G27" s="19" t="s">
        <v>5</v>
      </c>
      <c r="H27" s="19" t="s">
        <v>7</v>
      </c>
      <c r="I27" s="19" t="s">
        <v>8</v>
      </c>
    </row>
    <row r="28" spans="1:9" x14ac:dyDescent="0.25">
      <c r="A28" s="5" t="s">
        <v>145</v>
      </c>
      <c r="B28" s="5" t="str">
        <f>issuerTable!A21</f>
        <v>pairBasis</v>
      </c>
      <c r="C28" s="5" t="str">
        <f>issuerTable!B21</f>
        <v>VW 3 3/4 PERP nc-21</v>
      </c>
      <c r="D28" s="5" t="str">
        <f>issuerTable!C21</f>
        <v>VW 2 1/2 PERP nc-22</v>
      </c>
      <c r="E28" s="18">
        <f>issuerTable!J21</f>
        <v>232.80150999774713</v>
      </c>
      <c r="F28" s="18">
        <f>issuerTable!K21</f>
        <v>379.42997942797689</v>
      </c>
      <c r="G28" s="18">
        <f>issuerTable!M21</f>
        <v>148.27598032270424</v>
      </c>
      <c r="H28" s="18">
        <f ca="1">issuerTable!S21</f>
        <v>40.433733131693003</v>
      </c>
      <c r="I28" s="18">
        <f ca="1">issuerTable!X21</f>
        <v>261.46362077214246</v>
      </c>
    </row>
    <row r="29" spans="1:9" x14ac:dyDescent="0.25">
      <c r="B29" s="5" t="str">
        <f>issuerTable!A22</f>
        <v>pairBasis</v>
      </c>
      <c r="C29" s="5" t="str">
        <f>issuerTable!B22</f>
        <v>VW 2 1/2 PERP nc-22</v>
      </c>
      <c r="D29" s="5" t="str">
        <f>issuerTable!C22</f>
        <v>VW 2.7 PERP nc-22</v>
      </c>
      <c r="E29" s="18">
        <f>issuerTable!J22</f>
        <v>379.42997942797689</v>
      </c>
      <c r="F29" s="18">
        <f>issuerTable!K22</f>
        <v>381.39226707444124</v>
      </c>
      <c r="G29" s="18">
        <f>issuerTable!M22</f>
        <v>2.6758467906332006</v>
      </c>
      <c r="H29" s="18">
        <f ca="1">issuerTable!S22</f>
        <v>-5.0164259366395543</v>
      </c>
      <c r="I29" s="18">
        <f ca="1">issuerTable!X22</f>
        <v>-13.232335027548615</v>
      </c>
    </row>
    <row r="30" spans="1:9" x14ac:dyDescent="0.25">
      <c r="B30" s="5" t="str">
        <f>issuerTable!A23</f>
        <v>pairBasis</v>
      </c>
      <c r="C30" s="5" t="str">
        <f>issuerTable!B23</f>
        <v>VW 2.7 PERP nc-22</v>
      </c>
      <c r="D30" s="5" t="str">
        <f>issuerTable!C23</f>
        <v>VW 5 1/8 PERP nc-23</v>
      </c>
      <c r="E30" s="18">
        <f>issuerTable!J23</f>
        <v>381.39226707444124</v>
      </c>
      <c r="F30" s="18">
        <f>issuerTable!K23</f>
        <v>351.94625452557585</v>
      </c>
      <c r="G30" s="18">
        <f>issuerTable!M23</f>
        <v>-40.771401990736685</v>
      </c>
      <c r="H30" s="18">
        <f ca="1">issuerTable!S23</f>
        <v>7.377213393878705</v>
      </c>
      <c r="I30" s="18">
        <f ca="1">issuerTable!X23</f>
        <v>-35.365863529198229</v>
      </c>
    </row>
    <row r="31" spans="1:9" x14ac:dyDescent="0.25">
      <c r="B31" s="5" t="str">
        <f>issuerTable!A24</f>
        <v>pairBasis</v>
      </c>
      <c r="C31" s="5" t="str">
        <f>issuerTable!B24</f>
        <v>VW 5 1/8 PERP nc-23</v>
      </c>
      <c r="D31" s="5" t="str">
        <f>issuerTable!C24</f>
        <v>VW 3 3/8 PERP nc-24</v>
      </c>
      <c r="E31" s="18">
        <f>issuerTable!J24</f>
        <v>351.94625452557585</v>
      </c>
      <c r="F31" s="18">
        <f>issuerTable!K24</f>
        <v>391.24125044223609</v>
      </c>
      <c r="G31" s="18">
        <f>issuerTable!M24</f>
        <v>48.280541058012581</v>
      </c>
      <c r="H31" s="18">
        <f ca="1">issuerTable!S24</f>
        <v>-5.9221893174139808</v>
      </c>
      <c r="I31" s="18">
        <f ca="1">issuerTable!X24</f>
        <v>-9.4054657679259748</v>
      </c>
    </row>
    <row r="32" spans="1:9" x14ac:dyDescent="0.25">
      <c r="B32" s="5" t="str">
        <f>issuerTable!A25</f>
        <v>pairBasis</v>
      </c>
      <c r="C32" s="5" t="str">
        <f>issuerTable!B25</f>
        <v>VW 3 3/8 PERP nc-24</v>
      </c>
      <c r="D32" s="5" t="str">
        <f>issuerTable!C25</f>
        <v>VW 3 1/2 PERP nc-25</v>
      </c>
      <c r="E32" s="18">
        <f>issuerTable!J25</f>
        <v>391.24125044223609</v>
      </c>
      <c r="F32" s="18">
        <f>issuerTable!K25</f>
        <v>401.57907944186633</v>
      </c>
      <c r="G32" s="18">
        <f>issuerTable!M25</f>
        <v>10.633195542476811</v>
      </c>
      <c r="H32" s="18">
        <f ca="1">issuerTable!S25</f>
        <v>-9.3221187432374872</v>
      </c>
      <c r="I32" s="18" t="str">
        <f ca="1">issuerTable!X25</f>
        <v>-</v>
      </c>
    </row>
    <row r="33" spans="1:9" x14ac:dyDescent="0.25">
      <c r="B33" s="5" t="str">
        <f>issuerTable!A26</f>
        <v>pairBasis</v>
      </c>
      <c r="C33" s="5" t="str">
        <f>issuerTable!B26</f>
        <v>VW 3 1/2 PERP nc-25</v>
      </c>
      <c r="D33" s="5" t="str">
        <f>issuerTable!C26</f>
        <v>VW 4 5/8 PERP nc-26</v>
      </c>
      <c r="E33" s="18">
        <f>issuerTable!J26</f>
        <v>401.57907944186633</v>
      </c>
      <c r="F33" s="18">
        <f>issuerTable!K26</f>
        <v>400.39196720036773</v>
      </c>
      <c r="G33" s="18">
        <f>issuerTable!M26</f>
        <v>-1.5428173535721827</v>
      </c>
      <c r="H33" s="18">
        <f ca="1">issuerTable!S26</f>
        <v>9.2090960038284972</v>
      </c>
      <c r="I33" s="18" t="str">
        <f ca="1">issuerTable!X26</f>
        <v>-</v>
      </c>
    </row>
    <row r="34" spans="1:9" x14ac:dyDescent="0.25">
      <c r="B34" s="5" t="str">
        <f>issuerTable!A27</f>
        <v>pairBasis</v>
      </c>
      <c r="C34" s="5" t="str">
        <f>issuerTable!B27</f>
        <v>VW 4 5/8 PERP nc-26</v>
      </c>
      <c r="D34" s="5" t="str">
        <f>issuerTable!C27</f>
        <v>VW 3 7/8 PERP nc-27</v>
      </c>
      <c r="E34" s="18">
        <f>issuerTable!J27</f>
        <v>400.39196720036773</v>
      </c>
      <c r="F34" s="18">
        <f>issuerTable!K27</f>
        <v>409.44084722410611</v>
      </c>
      <c r="G34" s="18">
        <f>issuerTable!M27</f>
        <v>7.4036291103313987</v>
      </c>
      <c r="H34" s="18">
        <f ca="1">issuerTable!S27</f>
        <v>-1.7248254351231322</v>
      </c>
      <c r="I34" s="18">
        <f ca="1">issuerTable!X27</f>
        <v>-16.502007253304978</v>
      </c>
    </row>
    <row r="35" spans="1:9" x14ac:dyDescent="0.25">
      <c r="B35" s="5" t="str">
        <f>issuerTable!A28</f>
        <v>pairBasis</v>
      </c>
      <c r="C35" s="5" t="str">
        <f>issuerTable!B28</f>
        <v>VW 3 7/8 PERP nc-27</v>
      </c>
      <c r="D35" s="5" t="str">
        <f>issuerTable!C28</f>
        <v>VW 4 5/8 PERP nc-28</v>
      </c>
      <c r="E35" s="18">
        <f>issuerTable!J28</f>
        <v>409.44084722410611</v>
      </c>
      <c r="F35" s="18">
        <f>issuerTable!K28</f>
        <v>420.630072284883</v>
      </c>
      <c r="G35" s="18">
        <f>issuerTable!M28</f>
        <v>10.799252069382522</v>
      </c>
      <c r="H35" s="18">
        <f ca="1">issuerTable!S28</f>
        <v>7.5631126591948465</v>
      </c>
      <c r="I35" s="18">
        <f ca="1">issuerTable!X28</f>
        <v>7.3961421498114666</v>
      </c>
    </row>
    <row r="36" spans="1:9" x14ac:dyDescent="0.25">
      <c r="B36" s="5" t="str">
        <f>issuerTable!A29</f>
        <v>pairBasis</v>
      </c>
      <c r="C36" s="5" t="str">
        <f>issuerTable!B29</f>
        <v>VW 4 5/8 PERP nc-28</v>
      </c>
      <c r="D36" s="5" t="str">
        <f>issuerTable!C29</f>
        <v>VW 3 7/8 PERP nc-29</v>
      </c>
      <c r="E36" s="18">
        <f>issuerTable!J29</f>
        <v>420.630072284883</v>
      </c>
      <c r="F36" s="18">
        <f>issuerTable!K29</f>
        <v>425.52170694487688</v>
      </c>
      <c r="G36" s="18">
        <f>issuerTable!M29</f>
        <v>5.031395650279423</v>
      </c>
      <c r="H36" s="18">
        <f ca="1">issuerTable!S29</f>
        <v>-11.595461492577682</v>
      </c>
      <c r="I36" s="18" t="str">
        <f ca="1">issuerTable!X29</f>
        <v>-</v>
      </c>
    </row>
    <row r="37" spans="1:9" x14ac:dyDescent="0.25">
      <c r="B37" s="5" t="str">
        <f>issuerTable!A30</f>
        <v>pairBasis</v>
      </c>
      <c r="C37" s="5" t="str">
        <f>issuerTable!B30</f>
        <v>VW 3 7/8 PERP nc-29</v>
      </c>
      <c r="D37" s="5" t="str">
        <f>issuerTable!C30</f>
        <v>VW 3 1/2 PERP nc-30</v>
      </c>
      <c r="E37" s="18">
        <f>issuerTable!J30</f>
        <v>425.52170694487688</v>
      </c>
      <c r="F37" s="18">
        <f>issuerTable!K30</f>
        <v>398.55349865938547</v>
      </c>
      <c r="G37" s="18">
        <f>issuerTable!M30</f>
        <v>-35.562472464384285</v>
      </c>
      <c r="H37" s="18">
        <f ca="1">issuerTable!S30</f>
        <v>33.718406656494778</v>
      </c>
      <c r="I37" s="18" t="str">
        <f ca="1">issuerTable!X30</f>
        <v>-</v>
      </c>
    </row>
    <row r="38" spans="1:9" x14ac:dyDescent="0.25">
      <c r="E38" s="18"/>
      <c r="F38" s="18"/>
      <c r="G38" s="18"/>
      <c r="H38" s="18"/>
      <c r="I38" s="18"/>
    </row>
    <row r="40" spans="1:9" x14ac:dyDescent="0.25">
      <c r="B40" s="5" t="str">
        <f>issuerTable!A40</f>
        <v>whole curve</v>
      </c>
      <c r="C40" s="5" t="str">
        <f>issuerTable!B40</f>
        <v>VW 2 1/2 PERP nc-22</v>
      </c>
      <c r="D40" s="5" t="str">
        <f>issuerTable!C40</f>
        <v>VW 4 5/8 PERP nc-28</v>
      </c>
      <c r="E40" s="18">
        <f>issuerTable!J40</f>
        <v>379.42997942797689</v>
      </c>
      <c r="F40" s="18">
        <f>issuerTable!K40</f>
        <v>420.630072284883</v>
      </c>
      <c r="G40" s="18">
        <f>issuerTable!M40</f>
        <v>6.5715699727453254</v>
      </c>
      <c r="H40" s="18">
        <f ca="1">issuerTable!S40</f>
        <v>9.2526995341692064E-2</v>
      </c>
      <c r="I40" s="18">
        <f ca="1">issuerTable!X40</f>
        <v>-6.8182926767894552</v>
      </c>
    </row>
    <row r="41" spans="1:9" x14ac:dyDescent="0.25">
      <c r="B41" s="5" t="str">
        <f>issuerTable!A41</f>
        <v>whole curve</v>
      </c>
      <c r="C41" s="5" t="str">
        <f>issuerTable!B41</f>
        <v>VW 2.7 PERP nc-22</v>
      </c>
      <c r="D41" s="5" t="str">
        <f>issuerTable!C41</f>
        <v>VW 3 7/8 PERP nc-29</v>
      </c>
      <c r="E41" s="18">
        <f>issuerTable!J41</f>
        <v>381.39226707444124</v>
      </c>
      <c r="F41" s="18">
        <f>issuerTable!K41</f>
        <v>425.52170694487688</v>
      </c>
      <c r="G41" s="18">
        <f>issuerTable!M41</f>
        <v>6.7804517086456819</v>
      </c>
      <c r="H41" s="18">
        <f ca="1">issuerTable!S41</f>
        <v>-1.0777813259253728</v>
      </c>
      <c r="I41" s="18" t="str">
        <f ca="1">issuerTable!X41</f>
        <v>-</v>
      </c>
    </row>
    <row r="43" spans="1:9" x14ac:dyDescent="0.25">
      <c r="B43" s="5" t="str">
        <f>issuerTable!A43</f>
        <v>long end</v>
      </c>
      <c r="C43" s="5" t="str">
        <f>issuerTable!B43</f>
        <v>VW 4 5/8 PERP nc-26</v>
      </c>
      <c r="D43" s="5" t="str">
        <f>issuerTable!C43</f>
        <v>VW 3 1/2 PERP nc-30</v>
      </c>
      <c r="E43" s="18">
        <f>issuerTable!J43</f>
        <v>400.39196720036773</v>
      </c>
      <c r="F43" s="18">
        <f>issuerTable!K43</f>
        <v>398.55349865938547</v>
      </c>
      <c r="G43" s="18">
        <f>issuerTable!M43</f>
        <v>-0.46089740581728023</v>
      </c>
      <c r="H43" s="18">
        <f ca="1">issuerTable!S43</f>
        <v>5.0200775245448366</v>
      </c>
      <c r="I43" s="18">
        <f ca="1">issuerTable!X43</f>
        <v>2.380996744600536</v>
      </c>
    </row>
    <row r="47" spans="1:9" ht="33" x14ac:dyDescent="0.3">
      <c r="C47" s="19" t="s">
        <v>415</v>
      </c>
      <c r="D47" s="19" t="s">
        <v>416</v>
      </c>
      <c r="E47" s="19" t="s">
        <v>3</v>
      </c>
      <c r="F47" s="19" t="s">
        <v>4</v>
      </c>
      <c r="G47" s="19" t="s">
        <v>5</v>
      </c>
      <c r="H47" s="19" t="s">
        <v>7</v>
      </c>
      <c r="I47" s="19" t="s">
        <v>8</v>
      </c>
    </row>
    <row r="48" spans="1:9" x14ac:dyDescent="0.25">
      <c r="A48" s="5" t="s">
        <v>166</v>
      </c>
      <c r="B48" s="5" t="str">
        <f>issuerTable!A64</f>
        <v>pairBasis</v>
      </c>
      <c r="C48" s="5" t="str">
        <f>issuerTable!B64</f>
        <v>TELEFO 3 3/4 PERP nc-22</v>
      </c>
      <c r="D48" s="5" t="str">
        <f>issuerTable!C64</f>
        <v>TELEFO 2 5/8 PERP nc-23</v>
      </c>
      <c r="E48" s="18">
        <f>issuerTable!J64</f>
        <v>347.97327604278416</v>
      </c>
      <c r="F48" s="18">
        <f>issuerTable!K64</f>
        <v>367.79825768995835</v>
      </c>
      <c r="G48" s="18">
        <f>issuerTable!M64</f>
        <v>20.27554941188269</v>
      </c>
      <c r="H48" s="18">
        <f ca="1">issuerTable!S64</f>
        <v>158.13918577551902</v>
      </c>
      <c r="I48" s="18">
        <f ca="1">issuerTable!X64</f>
        <v>143.86804941188265</v>
      </c>
    </row>
    <row r="49" spans="2:9" x14ac:dyDescent="0.25">
      <c r="B49" s="5" t="str">
        <f>issuerTable!A65</f>
        <v>pairBasis</v>
      </c>
      <c r="C49" s="5" t="str">
        <f>issuerTable!B65</f>
        <v>TELEFO 2 5/8 PERP nc-23</v>
      </c>
      <c r="D49" s="5" t="str">
        <f>issuerTable!C65</f>
        <v>TELEFO 3 PERP nc-23</v>
      </c>
      <c r="E49" s="18">
        <f>issuerTable!J65</f>
        <v>367.79825768995835</v>
      </c>
      <c r="F49" s="18">
        <f>issuerTable!K65</f>
        <v>376.27144556373077</v>
      </c>
      <c r="G49" s="18">
        <f>issuerTable!M65</f>
        <v>17.233602455130342</v>
      </c>
      <c r="H49" s="18">
        <f ca="1">issuerTable!S65</f>
        <v>-312.71148229063238</v>
      </c>
      <c r="I49" s="18">
        <f ca="1">issuerTable!X65</f>
        <v>-275.88571957876798</v>
      </c>
    </row>
    <row r="50" spans="2:9" x14ac:dyDescent="0.25">
      <c r="B50" s="5" t="str">
        <f>issuerTable!A66</f>
        <v>pairBasis</v>
      </c>
      <c r="C50" s="5" t="str">
        <f>issuerTable!B66</f>
        <v>TELEFO 3 PERP nc-23</v>
      </c>
      <c r="D50" s="5" t="str">
        <f>issuerTable!C66</f>
        <v>TELEFO 5 7/8 PERP nc-24</v>
      </c>
      <c r="E50" s="18">
        <f>issuerTable!J66</f>
        <v>376.27144556373077</v>
      </c>
      <c r="F50" s="18">
        <f>issuerTable!K66</f>
        <v>361.1019011585168</v>
      </c>
      <c r="G50" s="18">
        <f>issuerTable!M66</f>
        <v>-26.381816356893861</v>
      </c>
      <c r="H50" s="18">
        <f ca="1">issuerTable!S66</f>
        <v>4.8581836431060808</v>
      </c>
      <c r="I50" s="18">
        <f ca="1">issuerTable!X66</f>
        <v>7.7799227735409779</v>
      </c>
    </row>
    <row r="51" spans="2:9" x14ac:dyDescent="0.25">
      <c r="B51" s="5" t="str">
        <f>issuerTable!A67</f>
        <v>pairBasis</v>
      </c>
      <c r="C51" s="5" t="str">
        <f>issuerTable!B67</f>
        <v>TELEFO 5 7/8 PERP nc-24</v>
      </c>
      <c r="D51" s="5" t="str">
        <f>issuerTable!C67</f>
        <v>TELEFO 4 3/8 PERP nc-24</v>
      </c>
      <c r="E51" s="18">
        <f>issuerTable!J67</f>
        <v>361.1019011585168</v>
      </c>
      <c r="F51" s="18">
        <f>issuerTable!K67</f>
        <v>373.18025942207112</v>
      </c>
      <c r="G51" s="18">
        <f>issuerTable!M67</f>
        <v>17.118932971966753</v>
      </c>
      <c r="H51" s="18">
        <f ca="1">issuerTable!S67</f>
        <v>22.426806987714791</v>
      </c>
      <c r="I51" s="18">
        <f ca="1">issuerTable!X67</f>
        <v>8.5242873026753845</v>
      </c>
    </row>
    <row r="52" spans="2:9" x14ac:dyDescent="0.25">
      <c r="B52" s="5" t="str">
        <f>issuerTable!A68</f>
        <v>pairBasis</v>
      </c>
      <c r="C52" s="5" t="str">
        <f>issuerTable!B68</f>
        <v>TELEFO 4 3/8 PERP nc-24</v>
      </c>
      <c r="D52" s="5" t="str">
        <f>issuerTable!C68</f>
        <v>TELEFO 3 7/8 PERP nc-26</v>
      </c>
      <c r="E52" s="18">
        <f>issuerTable!J68</f>
        <v>373.18025942207112</v>
      </c>
      <c r="F52" s="18">
        <f>issuerTable!K68</f>
        <v>400.06434054653812</v>
      </c>
      <c r="G52" s="18">
        <f>issuerTable!M68</f>
        <v>17.661075191255694</v>
      </c>
      <c r="H52" s="18">
        <f ca="1">issuerTable!S68</f>
        <v>59.875673731401719</v>
      </c>
      <c r="I52" s="18">
        <f ca="1">issuerTable!X68</f>
        <v>53.40092920585424</v>
      </c>
    </row>
    <row r="53" spans="2:9" x14ac:dyDescent="0.25">
      <c r="B53" s="5" t="str">
        <f>issuerTable!A69</f>
        <v>pairBasis</v>
      </c>
      <c r="C53" s="5" t="str">
        <f>issuerTable!B69</f>
        <v>TELEFO 3 7/8 PERP nc-26</v>
      </c>
      <c r="D53" s="5" t="str">
        <f>issuerTable!C69</f>
        <v>TELEFO 2.502 PERP nc-27</v>
      </c>
      <c r="E53" s="18">
        <f>issuerTable!J69</f>
        <v>400.06434054653812</v>
      </c>
      <c r="F53" s="18">
        <f>issuerTable!K69</f>
        <v>356.13727380536199</v>
      </c>
      <c r="G53" s="18">
        <f>issuerTable!M69</f>
        <v>-70.913650344499587</v>
      </c>
      <c r="H53" s="18">
        <f ca="1">issuerTable!S69</f>
        <v>-137.37965931310947</v>
      </c>
      <c r="I53" s="18">
        <f ca="1">issuerTable!X69</f>
        <v>-143.14450236243681</v>
      </c>
    </row>
    <row r="54" spans="2:9" x14ac:dyDescent="0.25">
      <c r="B54" s="5" t="str">
        <f>issuerTable!A70</f>
        <v>pairBasis</v>
      </c>
      <c r="C54" s="5" t="str">
        <f>issuerTable!B70</f>
        <v>TELEFO 2.502 PERP nc-27</v>
      </c>
      <c r="D54" s="5" t="str">
        <f>issuerTable!C70</f>
        <v>TELEFO 2 7/8 PERP nc-27</v>
      </c>
      <c r="E54" s="18">
        <f>issuerTable!J70</f>
        <v>356.13727380536199</v>
      </c>
      <c r="F54" s="18">
        <f>issuerTable!K70</f>
        <v>382.25833678682505</v>
      </c>
      <c r="G54" s="18">
        <f>issuerTable!M70</f>
        <v>67.651673908825217</v>
      </c>
      <c r="H54" s="18">
        <f ca="1">issuerTable!S70</f>
        <v>14.612537218177778</v>
      </c>
      <c r="I54" s="18">
        <f ca="1">issuerTable!X70</f>
        <v>20.802465275731699</v>
      </c>
    </row>
    <row r="55" spans="2:9" x14ac:dyDescent="0.25">
      <c r="E55" s="18"/>
      <c r="F55" s="18"/>
      <c r="G55" s="18"/>
      <c r="H55" s="18"/>
      <c r="I55" s="18"/>
    </row>
    <row r="56" spans="2:9" x14ac:dyDescent="0.25">
      <c r="E56" s="18"/>
      <c r="F56" s="18"/>
      <c r="G56" s="18"/>
      <c r="H56" s="18"/>
      <c r="I56" s="18"/>
    </row>
    <row r="57" spans="2:9" x14ac:dyDescent="0.25">
      <c r="B57" s="5" t="str">
        <f>issuerTable!A75</f>
        <v>whole curve</v>
      </c>
      <c r="C57" s="5" t="str">
        <f>issuerTable!B75</f>
        <v>TELEFO 2 5/8 PERP nc-23</v>
      </c>
      <c r="D57" s="5" t="str">
        <f>issuerTable!C75</f>
        <v>TELEFO 3 7/8 PERP nc-26</v>
      </c>
      <c r="E57" s="18">
        <f>issuerTable!J75</f>
        <v>367.79825768995835</v>
      </c>
      <c r="F57" s="18">
        <f>issuerTable!K75</f>
        <v>400.06434054653812</v>
      </c>
      <c r="G57" s="18">
        <f>issuerTable!M75</f>
        <v>9.8023542855432222</v>
      </c>
      <c r="H57" s="18">
        <f ca="1">issuerTable!S75</f>
        <v>-13.363721663823858</v>
      </c>
      <c r="I57" s="18">
        <f ca="1">issuerTable!X75</f>
        <v>-13.326962170152976</v>
      </c>
    </row>
    <row r="58" spans="2:9" x14ac:dyDescent="0.25">
      <c r="B58" s="5" t="str">
        <f>issuerTable!A76</f>
        <v>whole curve</v>
      </c>
      <c r="C58" s="5" t="str">
        <f>issuerTable!B76</f>
        <v>TELEFO 3 PERP nc-23</v>
      </c>
      <c r="D58" s="5" t="str">
        <f>issuerTable!C76</f>
        <v>TELEFO 2 7/8 PERP nc-27</v>
      </c>
      <c r="E58" s="18">
        <f>issuerTable!J76</f>
        <v>376.27144556373077</v>
      </c>
      <c r="F58" s="18">
        <f>issuerTable!K76</f>
        <v>382.25833678682505</v>
      </c>
      <c r="G58" s="18">
        <f>issuerTable!M76</f>
        <v>1.5731976936598133</v>
      </c>
      <c r="H58" s="18">
        <f ca="1">issuerTable!S76</f>
        <v>7.9630663067985017</v>
      </c>
      <c r="I58" s="18">
        <f ca="1">issuerTable!X76</f>
        <v>2.9267451389152903</v>
      </c>
    </row>
    <row r="59" spans="2:9" x14ac:dyDescent="0.25">
      <c r="E59" s="18"/>
      <c r="F59" s="18"/>
      <c r="G59" s="18"/>
      <c r="H59" s="18"/>
      <c r="I59" s="18"/>
    </row>
    <row r="60" spans="2:9" x14ac:dyDescent="0.25">
      <c r="B60" s="5" t="str">
        <f>issuerTable!A78</f>
        <v>long end</v>
      </c>
      <c r="C60" s="5" t="str">
        <f>issuerTable!B78</f>
        <v>TELEFO 5 7/8 PERP nc-24</v>
      </c>
      <c r="D60" s="5" t="str">
        <f>issuerTable!C78</f>
        <v>TELEFO 2 7/8 PERP nc-27</v>
      </c>
      <c r="E60" s="18">
        <f>issuerTable!J78</f>
        <v>361.1019011585168</v>
      </c>
      <c r="F60" s="18">
        <f>issuerTable!K78</f>
        <v>382.25833678682505</v>
      </c>
      <c r="G60" s="18">
        <f>issuerTable!M78</f>
        <v>6.5432275139097706</v>
      </c>
      <c r="H60" s="18">
        <f ca="1">issuerTable!S78</f>
        <v>8.5083821530850408</v>
      </c>
      <c r="I60" s="18">
        <f ca="1">issuerTable!X78</f>
        <v>2.0611656582396618</v>
      </c>
    </row>
    <row r="61" spans="2:9" x14ac:dyDescent="0.25">
      <c r="E61" s="18"/>
      <c r="F61" s="18"/>
      <c r="G61" s="18"/>
      <c r="H61" s="18"/>
      <c r="I61" s="18"/>
    </row>
    <row r="62" spans="2:9" x14ac:dyDescent="0.25">
      <c r="E62" s="18"/>
      <c r="F62" s="18"/>
      <c r="G62" s="18"/>
      <c r="H62" s="18"/>
      <c r="I62" s="18"/>
    </row>
    <row r="63" spans="2:9" x14ac:dyDescent="0.25">
      <c r="E63" s="18"/>
      <c r="F63" s="18"/>
      <c r="G63" s="18"/>
      <c r="H63" s="18"/>
      <c r="I63" s="18"/>
    </row>
    <row r="64" spans="2:9" x14ac:dyDescent="0.25">
      <c r="E64" s="18"/>
      <c r="F64" s="18"/>
      <c r="G64" s="18"/>
      <c r="H64" s="18"/>
      <c r="I64" s="18"/>
    </row>
    <row r="65" spans="1:9" x14ac:dyDescent="0.25">
      <c r="A65" s="5" t="s">
        <v>168</v>
      </c>
      <c r="B65" s="5" t="str">
        <f>issuerTable!A101</f>
        <v>pairBasis</v>
      </c>
      <c r="C65" s="5" t="str">
        <f>issuerTable!B101</f>
        <v>TOTAL 2 1/4 PERP nc-21</v>
      </c>
      <c r="D65" s="5" t="str">
        <f>issuerTable!C101</f>
        <v>TOTAL 3 7/8 PERP nc-22</v>
      </c>
      <c r="E65" s="18">
        <f>issuerTable!J101</f>
        <v>177.90533448541237</v>
      </c>
      <c r="F65" s="18">
        <f>issuerTable!K101</f>
        <v>198.5378286015075</v>
      </c>
      <c r="G65" s="18">
        <f>issuerTable!M101</f>
        <v>16.804746338901012</v>
      </c>
      <c r="H65" s="18">
        <f ca="1">issuerTable!S101</f>
        <v>10.184655841163444</v>
      </c>
      <c r="I65" s="18">
        <f ca="1">issuerTable!X101</f>
        <v>3.4000404565480729</v>
      </c>
    </row>
    <row r="66" spans="1:9" x14ac:dyDescent="0.25">
      <c r="B66" s="5" t="str">
        <f>issuerTable!A102</f>
        <v>pairBasis</v>
      </c>
      <c r="C66" s="5" t="str">
        <f>issuerTable!B102</f>
        <v>TOTAL 3 7/8 PERP nc-22</v>
      </c>
      <c r="D66" s="5" t="str">
        <f>issuerTable!C102</f>
        <v>TOTAL 2.708 PERP nc-23</v>
      </c>
      <c r="E66" s="18">
        <f>issuerTable!J102</f>
        <v>198.5378286015075</v>
      </c>
      <c r="F66" s="18">
        <f>issuerTable!K102</f>
        <v>212.14032647646678</v>
      </c>
      <c r="G66" s="18">
        <f>issuerTable!M102</f>
        <v>14.112101541744501</v>
      </c>
      <c r="H66" s="18">
        <f ca="1">issuerTable!S102</f>
        <v>25.685012204568739</v>
      </c>
      <c r="I66" s="18">
        <f ca="1">issuerTable!X102</f>
        <v>-4.697120360272784</v>
      </c>
    </row>
    <row r="67" spans="1:9" x14ac:dyDescent="0.25">
      <c r="B67" s="5" t="str">
        <f>issuerTable!A103</f>
        <v>pairBasis</v>
      </c>
      <c r="C67" s="5" t="str">
        <f>issuerTable!B103</f>
        <v>TOTAL 2.708 PERP nc-23</v>
      </c>
      <c r="D67" s="5" t="str">
        <f>issuerTable!C103</f>
        <v>TOTAL 1 3/4 PERP nc-24</v>
      </c>
      <c r="E67" s="18">
        <f>issuerTable!J103</f>
        <v>212.14032647646678</v>
      </c>
      <c r="F67" s="18">
        <f>issuerTable!K103</f>
        <v>223.9038204187504</v>
      </c>
      <c r="G67" s="18">
        <f>issuerTable!M103</f>
        <v>12.871908265112772</v>
      </c>
      <c r="H67" s="18">
        <f ca="1">issuerTable!S103</f>
        <v>9.3933672316781198</v>
      </c>
      <c r="I67" s="18">
        <f ca="1">issuerTable!X103</f>
        <v>-6.3984868716653658</v>
      </c>
    </row>
    <row r="68" spans="1:9" x14ac:dyDescent="0.25">
      <c r="B68" s="5" t="str">
        <f>issuerTable!A104</f>
        <v>pairBasis</v>
      </c>
      <c r="C68" s="5" t="str">
        <f>issuerTable!B104</f>
        <v>TOTAL 1 3/4 PERP nc-24</v>
      </c>
      <c r="D68" s="5" t="str">
        <f>issuerTable!C104</f>
        <v>TOTAL 2 5/8 PERP nc-25</v>
      </c>
      <c r="E68" s="18">
        <f>issuerTable!J104</f>
        <v>223.9038204187504</v>
      </c>
      <c r="F68" s="18">
        <f>issuerTable!K104</f>
        <v>231.26711250525477</v>
      </c>
      <c r="G68" s="18">
        <f>issuerTable!M104</f>
        <v>8.2322520221788018</v>
      </c>
      <c r="H68" s="18">
        <f ca="1">issuerTable!S104</f>
        <v>5.5892706557191696</v>
      </c>
      <c r="I68" s="18">
        <f ca="1">issuerTable!X104</f>
        <v>-9.1271268598087616</v>
      </c>
    </row>
    <row r="69" spans="1:9" x14ac:dyDescent="0.25">
      <c r="B69" s="5" t="str">
        <f>issuerTable!A105</f>
        <v>pairBasis</v>
      </c>
      <c r="C69" s="5" t="str">
        <f>issuerTable!B105</f>
        <v>TOTAL 2 5/8 PERP nc-25</v>
      </c>
      <c r="D69" s="5" t="str">
        <f>issuerTable!C105</f>
        <v>TOTAL 3.369 PERP nc-26</v>
      </c>
      <c r="E69" s="18">
        <f>issuerTable!J105</f>
        <v>231.26711250525477</v>
      </c>
      <c r="F69" s="18">
        <f>issuerTable!K105</f>
        <v>236.96130881618359</v>
      </c>
      <c r="G69" s="18">
        <f>issuerTable!M105</f>
        <v>3.534328744714438</v>
      </c>
      <c r="H69" s="18">
        <f ca="1">issuerTable!S105</f>
        <v>0.61832874471443366</v>
      </c>
      <c r="I69" s="18">
        <f ca="1">issuerTable!X105</f>
        <v>3.8701218481627118</v>
      </c>
    </row>
    <row r="70" spans="1:9" x14ac:dyDescent="0.25">
      <c r="E70" s="18"/>
      <c r="F70" s="18"/>
      <c r="G70" s="18"/>
      <c r="H70" s="18"/>
      <c r="I70" s="18"/>
    </row>
    <row r="71" spans="1:9" x14ac:dyDescent="0.25">
      <c r="E71" s="18"/>
      <c r="F71" s="18"/>
      <c r="G71" s="18"/>
      <c r="H71" s="18"/>
      <c r="I71" s="18"/>
    </row>
    <row r="72" spans="1:9" x14ac:dyDescent="0.25">
      <c r="B72" s="5" t="str">
        <f>issuerTable!A110</f>
        <v>whole curve</v>
      </c>
      <c r="C72" s="5" t="str">
        <f>issuerTable!B110</f>
        <v>TOTAL 3 7/8 PERP nc-22</v>
      </c>
      <c r="D72" s="5" t="str">
        <f>issuerTable!C110</f>
        <v>TOTAL 2 5/8 PERP nc-25</v>
      </c>
      <c r="E72" s="18">
        <f>issuerTable!J110</f>
        <v>198.5378286015075</v>
      </c>
      <c r="F72" s="18">
        <f>issuerTable!K110</f>
        <v>231.26711250525477</v>
      </c>
      <c r="G72" s="18">
        <f>issuerTable!M110</f>
        <v>11.806154514377774</v>
      </c>
      <c r="H72" s="18">
        <f ca="1">issuerTable!S110</f>
        <v>13.830523251852732</v>
      </c>
      <c r="I72" s="18">
        <f ca="1">issuerTable!X110</f>
        <v>-6.6873124194899631</v>
      </c>
    </row>
    <row r="73" spans="1:9" x14ac:dyDescent="0.25">
      <c r="E73" s="18"/>
      <c r="F73" s="18"/>
      <c r="G73" s="18"/>
      <c r="H73" s="18"/>
      <c r="I73" s="18"/>
    </row>
    <row r="74" spans="1:9" x14ac:dyDescent="0.25">
      <c r="B74" s="5" t="str">
        <f>issuerTable!A112</f>
        <v>long end</v>
      </c>
      <c r="C74" s="5" t="str">
        <f>issuerTable!B112</f>
        <v>TOTAL 2.708 PERP nc-23</v>
      </c>
      <c r="D74" s="5" t="str">
        <f>issuerTable!C112</f>
        <v>TOTAL 3.369 PERP nc-26</v>
      </c>
      <c r="E74" s="18">
        <f>issuerTable!J112</f>
        <v>212.14032647646678</v>
      </c>
      <c r="F74" s="18">
        <f>issuerTable!K112</f>
        <v>236.96130881618359</v>
      </c>
      <c r="G74" s="18">
        <f>issuerTable!M112</f>
        <v>7.258776313808327</v>
      </c>
      <c r="H74" s="18">
        <f ca="1">issuerTable!S112</f>
        <v>4.263845363361531</v>
      </c>
      <c r="I74" s="18">
        <f ca="1">issuerTable!X112</f>
        <v>-2.2740587796116598</v>
      </c>
    </row>
    <row r="75" spans="1:9" x14ac:dyDescent="0.25">
      <c r="E75" s="18"/>
      <c r="F75" s="18"/>
      <c r="G75" s="18"/>
      <c r="H75" s="18"/>
      <c r="I75" s="18"/>
    </row>
    <row r="76" spans="1:9" x14ac:dyDescent="0.25">
      <c r="E76" s="18"/>
      <c r="F76" s="18"/>
      <c r="G76" s="18"/>
      <c r="H76" s="18"/>
      <c r="I76" s="18"/>
    </row>
    <row r="78" spans="1:9" x14ac:dyDescent="0.25">
      <c r="A78" s="5" t="s">
        <v>422</v>
      </c>
      <c r="B78" s="5" t="str">
        <f>issuerTable!A130</f>
        <v>pairBasis</v>
      </c>
      <c r="C78" s="5" t="str">
        <f>issuerTable!B130</f>
        <v>ENBW 3 5/8 04/02/76 nc-21</v>
      </c>
      <c r="D78" s="5" t="str">
        <f>issuerTable!C130</f>
        <v>ENBW 3 5/8 04/02/76 nc-21</v>
      </c>
      <c r="E78" s="18">
        <f>issuerTable!J130</f>
        <v>203.08357790781349</v>
      </c>
      <c r="F78" s="18">
        <f>issuerTable!K130</f>
        <v>203.08357790781349</v>
      </c>
      <c r="G78" s="18" t="str">
        <f>issuerTable!M130</f>
        <v>-</v>
      </c>
      <c r="H78" s="18" t="str">
        <f ca="1">issuerTable!S130</f>
        <v>-</v>
      </c>
      <c r="I78" s="18" t="str">
        <f ca="1">issuerTable!X130</f>
        <v>-</v>
      </c>
    </row>
    <row r="79" spans="1:9" x14ac:dyDescent="0.25">
      <c r="B79" s="5" t="str">
        <f>issuerTable!A131</f>
        <v>pairBasis</v>
      </c>
      <c r="C79" s="5" t="str">
        <f>issuerTable!B131</f>
        <v>ENBW 3 5/8 04/02/76 nc-21</v>
      </c>
      <c r="D79" s="5" t="str">
        <f>issuerTable!C131</f>
        <v>ENBW 3 3/8 04/05/77 nc-22</v>
      </c>
      <c r="E79" s="18">
        <f>issuerTable!J131</f>
        <v>203.08357790781349</v>
      </c>
      <c r="F79" s="18">
        <f>issuerTable!K131</f>
        <v>192.24716281592166</v>
      </c>
      <c r="G79" s="18">
        <f>issuerTable!M131</f>
        <v>-14.289778143154072</v>
      </c>
      <c r="H79" s="18">
        <f ca="1">issuerTable!S131</f>
        <v>7.6702218568459184</v>
      </c>
      <c r="I79" s="18">
        <f ca="1">issuerTable!X131</f>
        <v>-49.296811110187036</v>
      </c>
    </row>
    <row r="80" spans="1:9" x14ac:dyDescent="0.25">
      <c r="B80" s="5" t="str">
        <f>issuerTable!A132</f>
        <v>pairBasis</v>
      </c>
      <c r="C80" s="5" t="str">
        <f>issuerTable!B132</f>
        <v>ENBW 3 3/8 04/05/77 nc-22</v>
      </c>
      <c r="D80" s="5" t="str">
        <f>issuerTable!C132</f>
        <v>ENBW 1 1/8 11/05/79 nc-24</v>
      </c>
      <c r="E80" s="18">
        <f>issuerTable!J132</f>
        <v>192.24716281592166</v>
      </c>
      <c r="F80" s="18">
        <f>issuerTable!K132</f>
        <v>210.05202425278085</v>
      </c>
      <c r="G80" s="18">
        <f>issuerTable!M132</f>
        <v>6.8922044271713023</v>
      </c>
      <c r="H80" s="18">
        <f ca="1">issuerTable!S132</f>
        <v>-8.9760536373448243</v>
      </c>
      <c r="I80" s="18">
        <f ca="1">issuerTable!X132</f>
        <v>-12.048440734119021</v>
      </c>
    </row>
    <row r="81" spans="1:9" x14ac:dyDescent="0.25">
      <c r="B81" s="5" t="str">
        <f>issuerTable!A133</f>
        <v>pairBasis</v>
      </c>
      <c r="C81" s="5" t="str">
        <f>issuerTable!B133</f>
        <v>ENBW 1 1/8 11/05/79 nc-24</v>
      </c>
      <c r="D81" s="5" t="str">
        <f>issuerTable!C133</f>
        <v>ENBW 1 7/8 06/29/80 nc-26</v>
      </c>
      <c r="E81" s="18">
        <f>issuerTable!J133</f>
        <v>210.05202425278085</v>
      </c>
      <c r="F81" s="18">
        <f>issuerTable!K133</f>
        <v>234.0163532948288</v>
      </c>
      <c r="G81" s="18">
        <f>issuerTable!M133</f>
        <v>14.499425975020609</v>
      </c>
      <c r="H81" s="18">
        <f ca="1">issuerTable!S133</f>
        <v>0.49028311787775358</v>
      </c>
      <c r="I81" s="18" t="str">
        <f ca="1">issuerTable!X133</f>
        <v>-</v>
      </c>
    </row>
    <row r="82" spans="1:9" x14ac:dyDescent="0.25">
      <c r="B82" s="5" t="str">
        <f>issuerTable!A134</f>
        <v>pairBasis</v>
      </c>
      <c r="C82" s="5" t="str">
        <f>issuerTable!B134</f>
        <v>ENBW 1 7/8 06/29/80 nc-26</v>
      </c>
      <c r="D82" s="5" t="str">
        <f>issuerTable!C134</f>
        <v>ENBW 1 5/8 08/05/79 nc-27</v>
      </c>
      <c r="E82" s="18">
        <f>issuerTable!J134</f>
        <v>234.0163532948288</v>
      </c>
      <c r="F82" s="18">
        <f>issuerTable!K134</f>
        <v>232.76921308114501</v>
      </c>
      <c r="G82" s="18">
        <f>issuerTable!M134</f>
        <v>-1.1366341188004183</v>
      </c>
      <c r="H82" s="18">
        <f ca="1">issuerTable!S134</f>
        <v>1.4006823368957764</v>
      </c>
      <c r="I82" s="18" t="str">
        <f ca="1">issuerTable!X134</f>
        <v>-</v>
      </c>
    </row>
    <row r="83" spans="1:9" x14ac:dyDescent="0.25">
      <c r="E83" s="18"/>
      <c r="F83" s="18"/>
      <c r="G83" s="18"/>
      <c r="H83" s="18"/>
      <c r="I83" s="18"/>
    </row>
    <row r="84" spans="1:9" x14ac:dyDescent="0.25">
      <c r="E84" s="18"/>
      <c r="F84" s="18"/>
      <c r="G84" s="18"/>
      <c r="H84" s="18"/>
      <c r="I84" s="18"/>
    </row>
    <row r="85" spans="1:9" x14ac:dyDescent="0.25">
      <c r="B85" s="5" t="str">
        <f>issuerTable!A139</f>
        <v>whole curve</v>
      </c>
      <c r="C85" s="5" t="str">
        <f>issuerTable!B139</f>
        <v>ENBW 3 5/8 04/02/76 nc-21</v>
      </c>
      <c r="D85" s="5" t="str">
        <f>issuerTable!C139</f>
        <v>ENBW 1 5/8 08/05/79 nc-27</v>
      </c>
      <c r="E85" s="18">
        <f>issuerTable!J139</f>
        <v>203.08357790781349</v>
      </c>
      <c r="F85" s="18">
        <f>issuerTable!K139</f>
        <v>232.76921308114501</v>
      </c>
      <c r="G85" s="18">
        <f>issuerTable!M139</f>
        <v>4.8731548848150235</v>
      </c>
      <c r="H85" s="18">
        <f ca="1">issuerTable!S139</f>
        <v>-2.4663799989059081</v>
      </c>
      <c r="I85" s="18">
        <f ca="1">issuerTable!X139</f>
        <v>-11.221455238303992</v>
      </c>
    </row>
    <row r="86" spans="1:9" x14ac:dyDescent="0.25">
      <c r="E86" s="18"/>
      <c r="F86" s="18"/>
      <c r="G86" s="18"/>
      <c r="H86" s="18"/>
      <c r="I86" s="18"/>
    </row>
    <row r="87" spans="1:9" x14ac:dyDescent="0.25">
      <c r="B87" s="5" t="str">
        <f>issuerTable!A141</f>
        <v>long end</v>
      </c>
      <c r="C87" s="5" t="str">
        <f>issuerTable!B141</f>
        <v>ENBW 1 1/8 11/05/79 nc-24</v>
      </c>
      <c r="D87" s="5" t="str">
        <f>issuerTable!C141</f>
        <v>ENBW 1 5/8 08/05/79 nc-27</v>
      </c>
      <c r="E87" s="18">
        <f>issuerTable!J141</f>
        <v>210.05202425278085</v>
      </c>
      <c r="F87" s="18">
        <f>issuerTable!K141</f>
        <v>232.76921308114501</v>
      </c>
      <c r="G87" s="18">
        <f>issuerTable!M141</f>
        <v>8.2607959375869662</v>
      </c>
      <c r="H87" s="18">
        <f ca="1">issuerTable!S141</f>
        <v>0.85352321031423717</v>
      </c>
      <c r="I87" s="18">
        <f ca="1">issuerTable!X141</f>
        <v>5.4977755768783609E-2</v>
      </c>
    </row>
    <row r="88" spans="1:9" x14ac:dyDescent="0.25">
      <c r="E88" s="18"/>
      <c r="F88" s="18"/>
      <c r="G88" s="18"/>
      <c r="H88" s="18"/>
      <c r="I88" s="18"/>
    </row>
    <row r="89" spans="1:9" x14ac:dyDescent="0.25">
      <c r="E89" s="18"/>
      <c r="F89" s="18"/>
      <c r="G89" s="18"/>
      <c r="H89" s="18"/>
      <c r="I89" s="18"/>
    </row>
    <row r="91" spans="1:9" ht="33" x14ac:dyDescent="0.3">
      <c r="C91" s="19" t="s">
        <v>415</v>
      </c>
      <c r="D91" s="19" t="s">
        <v>416</v>
      </c>
      <c r="E91" s="19" t="s">
        <v>3</v>
      </c>
      <c r="F91" s="19" t="s">
        <v>4</v>
      </c>
      <c r="G91" s="19" t="s">
        <v>5</v>
      </c>
      <c r="H91" s="19" t="s">
        <v>7</v>
      </c>
      <c r="I91" s="19" t="s">
        <v>8</v>
      </c>
    </row>
    <row r="92" spans="1:9" x14ac:dyDescent="0.25">
      <c r="A92" s="5" t="s">
        <v>423</v>
      </c>
      <c r="B92" s="5" t="str">
        <f>issuerTable!A162</f>
        <v>pairBasis</v>
      </c>
      <c r="C92" s="5" t="str">
        <f>issuerTable!B162</f>
        <v>ORAFP 4 PERP nc-21</v>
      </c>
      <c r="D92" s="5" t="str">
        <f>issuerTable!C162</f>
        <v>ORAFP 5 1/4 PERP nc-24</v>
      </c>
      <c r="E92" s="18">
        <f>issuerTable!J162</f>
        <v>159.49756429971029</v>
      </c>
      <c r="F92" s="18">
        <f>issuerTable!K162</f>
        <v>213.48904851858163</v>
      </c>
      <c r="G92" s="18">
        <f>issuerTable!M162</f>
        <v>22.975099667604823</v>
      </c>
      <c r="H92" s="18">
        <f ca="1">issuerTable!S162</f>
        <v>-10.90064501324624</v>
      </c>
      <c r="I92" s="18">
        <f ca="1">issuerTable!X162</f>
        <v>-9.0555386302675274</v>
      </c>
    </row>
    <row r="93" spans="1:9" x14ac:dyDescent="0.25">
      <c r="B93" s="5" t="str">
        <f>issuerTable!A163</f>
        <v>pairBasis</v>
      </c>
      <c r="C93" s="5" t="str">
        <f>issuerTable!B163</f>
        <v>ORAFP 5 1/4 PERP nc-24</v>
      </c>
      <c r="D93" s="5" t="str">
        <f>issuerTable!C163</f>
        <v>ORAFP 2 3/8 PERP nc-25</v>
      </c>
      <c r="E93" s="18">
        <f>issuerTable!J163</f>
        <v>213.48904851858163</v>
      </c>
      <c r="F93" s="18">
        <f>issuerTable!K163</f>
        <v>234.7629917450258</v>
      </c>
      <c r="G93" s="18">
        <f>issuerTable!M163</f>
        <v>22.658637755976045</v>
      </c>
      <c r="H93" s="18">
        <f ca="1">issuerTable!S163</f>
        <v>12.525383318106242</v>
      </c>
      <c r="I93" s="18">
        <f ca="1">issuerTable!X163</f>
        <v>10.323844856567773</v>
      </c>
    </row>
    <row r="94" spans="1:9" x14ac:dyDescent="0.25">
      <c r="B94" s="5" t="str">
        <f>issuerTable!A164</f>
        <v>pairBasis</v>
      </c>
      <c r="C94" s="5" t="str">
        <f>issuerTable!B164</f>
        <v>ORAFP 2 3/8 PERP nc-25</v>
      </c>
      <c r="D94" s="5" t="str">
        <f>issuerTable!C164</f>
        <v>ORAFP 5 PERP nc-26</v>
      </c>
      <c r="E94" s="18">
        <f>issuerTable!J164</f>
        <v>234.7629917450258</v>
      </c>
      <c r="F94" s="18">
        <f>issuerTable!K164</f>
        <v>245.33404795369057</v>
      </c>
      <c r="G94" s="18">
        <f>issuerTable!M164</f>
        <v>6.1778899920768149</v>
      </c>
      <c r="H94" s="18">
        <f ca="1">issuerTable!S164</f>
        <v>-1.9974996183128146</v>
      </c>
      <c r="I94" s="18">
        <f ca="1">issuerTable!X164</f>
        <v>-8.4611359819491625</v>
      </c>
    </row>
    <row r="95" spans="1:9" x14ac:dyDescent="0.25">
      <c r="B95" s="5" t="str">
        <f>issuerTable!A165</f>
        <v>pairBasis</v>
      </c>
      <c r="C95" s="5" t="str">
        <f>issuerTable!B165</f>
        <v>ORAFP 5 PERP nc-26</v>
      </c>
      <c r="D95" s="5" t="str">
        <f>issuerTable!C165</f>
        <v>ORAFP 1 3/4 PERP nc-26</v>
      </c>
      <c r="E95" s="18">
        <f>issuerTable!J165</f>
        <v>245.33404795369057</v>
      </c>
      <c r="F95" s="18">
        <f>issuerTable!K165</f>
        <v>236.3544480213084</v>
      </c>
      <c r="G95" s="18">
        <f>issuerTable!M165</f>
        <v>-41.444307380225403</v>
      </c>
      <c r="H95" s="18">
        <f ca="1">issuerTable!S165</f>
        <v>39.786461850543922</v>
      </c>
      <c r="I95" s="18">
        <f ca="1">issuerTable!X165</f>
        <v>72.731077235159205</v>
      </c>
    </row>
    <row r="96" spans="1:9" x14ac:dyDescent="0.25">
      <c r="E96" s="18"/>
      <c r="F96" s="18"/>
      <c r="G96" s="18"/>
      <c r="H96" s="18"/>
      <c r="I96" s="18"/>
    </row>
    <row r="97" spans="1:9" x14ac:dyDescent="0.25">
      <c r="E97" s="18"/>
      <c r="F97" s="18"/>
      <c r="G97" s="18"/>
      <c r="H97" s="18"/>
      <c r="I97" s="18"/>
    </row>
    <row r="98" spans="1:9" x14ac:dyDescent="0.25">
      <c r="B98" s="5" t="str">
        <f>issuerTable!A170</f>
        <v>whole curve</v>
      </c>
      <c r="C98" s="5" t="str">
        <f>issuerTable!B170</f>
        <v>ORAFP 4 PERP nc-21</v>
      </c>
      <c r="D98" s="5" t="str">
        <f>issuerTable!C170</f>
        <v>ORAFP 1 3/4 PERP nc-26</v>
      </c>
      <c r="E98" s="18">
        <f>issuerTable!J170</f>
        <v>159.49756429971029</v>
      </c>
      <c r="F98" s="18">
        <f>issuerTable!K170</f>
        <v>236.3544480213084</v>
      </c>
      <c r="G98" s="18">
        <f>issuerTable!M170</f>
        <v>14.732948956216889</v>
      </c>
      <c r="H98" s="18">
        <f ca="1">issuerTable!S170</f>
        <v>-1.6589360278086698</v>
      </c>
      <c r="I98" s="18">
        <f ca="1">issuerTable!X170</f>
        <v>-1.9758050373933376</v>
      </c>
    </row>
    <row r="99" spans="1:9" x14ac:dyDescent="0.25">
      <c r="E99" s="18"/>
      <c r="F99" s="18"/>
      <c r="G99" s="18"/>
      <c r="H99" s="18"/>
      <c r="I99" s="18"/>
    </row>
    <row r="100" spans="1:9" x14ac:dyDescent="0.25">
      <c r="B100" s="5" t="str">
        <f>issuerTable!A172</f>
        <v>long end</v>
      </c>
      <c r="C100" s="5" t="str">
        <f>issuerTable!B172</f>
        <v>ORAFP 2 3/8 PERP nc-25</v>
      </c>
      <c r="D100" s="5" t="str">
        <f>issuerTable!C172</f>
        <v>ORAFP 1 3/4 PERP nc-26</v>
      </c>
      <c r="E100" s="18">
        <f>issuerTable!J172</f>
        <v>234.7629917450258</v>
      </c>
      <c r="F100" s="18">
        <f>issuerTable!K172</f>
        <v>236.3544480213084</v>
      </c>
      <c r="G100" s="18">
        <f>issuerTable!M172</f>
        <v>0.82553927876330802</v>
      </c>
      <c r="H100" s="18">
        <f ca="1">issuerTable!S172</f>
        <v>2.6986804891379426</v>
      </c>
      <c r="I100" s="18">
        <f ca="1">issuerTable!X172</f>
        <v>0.66421363034831882</v>
      </c>
    </row>
    <row r="101" spans="1:9" x14ac:dyDescent="0.25">
      <c r="E101" s="18"/>
      <c r="F101" s="18"/>
      <c r="G101" s="18"/>
      <c r="H101" s="18"/>
      <c r="I101" s="18"/>
    </row>
    <row r="102" spans="1:9" x14ac:dyDescent="0.25">
      <c r="E102" s="18"/>
      <c r="F102" s="18"/>
      <c r="G102" s="18"/>
      <c r="H102" s="18"/>
      <c r="I102" s="18"/>
    </row>
    <row r="103" spans="1:9" x14ac:dyDescent="0.25">
      <c r="E103" s="18"/>
      <c r="F103" s="18"/>
      <c r="G103" s="18"/>
      <c r="H103" s="18"/>
      <c r="I103" s="18"/>
    </row>
    <row r="104" spans="1:9" x14ac:dyDescent="0.25">
      <c r="E104" s="18"/>
      <c r="F104" s="18"/>
      <c r="G104" s="18"/>
      <c r="H104" s="18"/>
      <c r="I104" s="18"/>
    </row>
    <row r="105" spans="1:9" x14ac:dyDescent="0.25">
      <c r="E105" s="18"/>
      <c r="F105" s="18"/>
      <c r="G105" s="18"/>
      <c r="H105" s="18"/>
      <c r="I105" s="18"/>
    </row>
    <row r="106" spans="1:9" x14ac:dyDescent="0.25">
      <c r="A106" s="5" t="s">
        <v>425</v>
      </c>
      <c r="B106" s="5" t="str">
        <f>issuerTable!A192</f>
        <v>pairBasis</v>
      </c>
      <c r="C106" s="5" t="str">
        <f>issuerTable!B192</f>
        <v>ENGIFP 4 3/4 PERP nc-21</v>
      </c>
      <c r="D106" s="5" t="str">
        <f>issuerTable!C192</f>
        <v>ENGIFP 1 3/8 PERP nc-23</v>
      </c>
      <c r="E106" s="18">
        <f>issuerTable!J192</f>
        <v>157.69689840369668</v>
      </c>
      <c r="F106" s="18">
        <f>issuerTable!K192</f>
        <v>253.31853430339621</v>
      </c>
      <c r="G106" s="18">
        <f>issuerTable!M192</f>
        <v>63.04723246134035</v>
      </c>
      <c r="H106" s="18">
        <f ca="1">issuerTable!S192</f>
        <v>-20.623097208989329</v>
      </c>
      <c r="I106" s="18">
        <f ca="1">issuerTable!X192</f>
        <v>-4.4732070990991915</v>
      </c>
    </row>
    <row r="107" spans="1:9" x14ac:dyDescent="0.25">
      <c r="B107" s="5" t="str">
        <f>issuerTable!A193</f>
        <v>pairBasis</v>
      </c>
      <c r="C107" s="5" t="str">
        <f>issuerTable!B193</f>
        <v>ENGIFP 1 3/8 PERP nc-23</v>
      </c>
      <c r="D107" s="5" t="str">
        <f>issuerTable!C193</f>
        <v>ENGIFP 3 7/8 PERP nc-24</v>
      </c>
      <c r="E107" s="18">
        <f>issuerTable!J193</f>
        <v>253.31853430339621</v>
      </c>
      <c r="F107" s="18">
        <f>issuerTable!K193</f>
        <v>234.83854221467459</v>
      </c>
      <c r="G107" s="18">
        <f>issuerTable!M193</f>
        <v>-13.41289748374956</v>
      </c>
      <c r="H107" s="18">
        <f ca="1">issuerTable!S193</f>
        <v>15.736215419476249</v>
      </c>
      <c r="I107" s="18">
        <f ca="1">issuerTable!X193</f>
        <v>3.5237960646375228</v>
      </c>
    </row>
    <row r="108" spans="1:9" x14ac:dyDescent="0.25">
      <c r="B108" s="5" t="str">
        <f>issuerTable!A194</f>
        <v>pairBasis</v>
      </c>
      <c r="C108" s="5" t="str">
        <f>issuerTable!B194</f>
        <v>ENGIFP 3 7/8 PERP nc-24</v>
      </c>
      <c r="D108" s="5" t="str">
        <f>issuerTable!C194</f>
        <v>ENGIFP 3 1/4 PERP nc-24</v>
      </c>
      <c r="E108" s="18">
        <f>issuerTable!J194</f>
        <v>234.83854221467459</v>
      </c>
      <c r="F108" s="18">
        <f>issuerTable!K194</f>
        <v>241.71589330138676</v>
      </c>
      <c r="G108" s="18">
        <f>issuerTable!M194</f>
        <v>14.067309041002162</v>
      </c>
      <c r="H108" s="18">
        <f ca="1">issuerTable!S194</f>
        <v>16.03094540463854</v>
      </c>
      <c r="I108" s="18">
        <f ca="1">issuerTable!X194</f>
        <v>6.9695817682748906</v>
      </c>
    </row>
    <row r="109" spans="1:9" x14ac:dyDescent="0.25">
      <c r="B109" s="5" t="str">
        <f>issuerTable!A195</f>
        <v>pairBasis</v>
      </c>
      <c r="C109" s="5" t="str">
        <f>issuerTable!B195</f>
        <v>ENGIFP 3 1/4 PERP nc-24</v>
      </c>
      <c r="D109" s="5" t="str">
        <f>issuerTable!C195</f>
        <v>ENGIFP 1 5/8 PERP nc-25</v>
      </c>
      <c r="E109" s="18">
        <f>issuerTable!J195</f>
        <v>241.71589330138676</v>
      </c>
      <c r="F109" s="18">
        <f>issuerTable!K195</f>
        <v>248.53902864241047</v>
      </c>
      <c r="G109" s="18">
        <f>issuerTable!M195</f>
        <v>18.894836328988749</v>
      </c>
      <c r="H109" s="18">
        <f ca="1">issuerTable!S195</f>
        <v>-12.436240594088154</v>
      </c>
      <c r="I109" s="18">
        <f ca="1">issuerTable!X195</f>
        <v>-7.396240594088173</v>
      </c>
    </row>
    <row r="110" spans="1:9" x14ac:dyDescent="0.25">
      <c r="E110" s="18"/>
      <c r="F110" s="18"/>
      <c r="G110" s="18"/>
      <c r="H110" s="18"/>
      <c r="I110" s="18"/>
    </row>
    <row r="111" spans="1:9" x14ac:dyDescent="0.25">
      <c r="E111" s="18"/>
      <c r="F111" s="18"/>
      <c r="G111" s="18"/>
      <c r="H111" s="18"/>
      <c r="I111" s="18"/>
    </row>
    <row r="112" spans="1:9" x14ac:dyDescent="0.25">
      <c r="B112" s="5" t="str">
        <f>issuerTable!A200</f>
        <v>whole curve</v>
      </c>
      <c r="C112" s="5" t="str">
        <f>issuerTable!B200</f>
        <v>ENGIFP 4 3/4 PERP nc-21</v>
      </c>
      <c r="D112" s="5" t="str">
        <f>issuerTable!C200</f>
        <v>ENGIFP 1 5/8 PERP nc-25</v>
      </c>
      <c r="E112" s="18">
        <f>issuerTable!J200</f>
        <v>157.69689840369668</v>
      </c>
      <c r="F112" s="18">
        <f>issuerTable!K200</f>
        <v>248.53902864241047</v>
      </c>
      <c r="G112" s="18">
        <f>issuerTable!M200</f>
        <v>24.26050955930042</v>
      </c>
      <c r="H112" s="18">
        <f ca="1">issuerTable!S200</f>
        <v>-1.6693717463375606</v>
      </c>
      <c r="I112" s="18">
        <f ca="1">issuerTable!X200</f>
        <v>-0.3185705593939403</v>
      </c>
    </row>
    <row r="113" spans="1:9" x14ac:dyDescent="0.25">
      <c r="E113" s="18"/>
      <c r="F113" s="18"/>
      <c r="G113" s="18"/>
      <c r="H113" s="18"/>
      <c r="I113" s="18"/>
    </row>
    <row r="114" spans="1:9" x14ac:dyDescent="0.25">
      <c r="B114" s="5" t="str">
        <f>issuerTable!A202</f>
        <v>long end</v>
      </c>
      <c r="C114" s="5" t="str">
        <f>issuerTable!B202</f>
        <v>ENGIFP 3 7/8 PERP nc-24</v>
      </c>
      <c r="D114" s="5" t="str">
        <f>issuerTable!C202</f>
        <v>ENGIFP 1 5/8 PERP nc-25</v>
      </c>
      <c r="E114" s="18">
        <f>issuerTable!J202</f>
        <v>234.83854221467459</v>
      </c>
      <c r="F114" s="18">
        <f>issuerTable!K202</f>
        <v>248.53902864241047</v>
      </c>
      <c r="G114" s="18">
        <f>issuerTable!M202</f>
        <v>16.118219326748097</v>
      </c>
      <c r="H114" s="18">
        <f ca="1">issuerTable!S202</f>
        <v>3.9370428561598789</v>
      </c>
      <c r="I114" s="18">
        <f ca="1">issuerTable!X202</f>
        <v>0.86645462086574554</v>
      </c>
    </row>
    <row r="115" spans="1:9" x14ac:dyDescent="0.25">
      <c r="E115" s="18"/>
      <c r="F115" s="18"/>
      <c r="G115" s="18"/>
      <c r="H115" s="18"/>
      <c r="I115" s="18"/>
    </row>
    <row r="116" spans="1:9" x14ac:dyDescent="0.25">
      <c r="E116" s="18"/>
      <c r="F116" s="18"/>
      <c r="G116" s="18"/>
      <c r="H116" s="18"/>
      <c r="I116" s="18"/>
    </row>
    <row r="117" spans="1:9" x14ac:dyDescent="0.25">
      <c r="E117" s="18"/>
      <c r="F117" s="18"/>
      <c r="G117" s="18"/>
      <c r="H117" s="18"/>
      <c r="I117" s="18"/>
    </row>
    <row r="118" spans="1:9" x14ac:dyDescent="0.25">
      <c r="A118" s="5" t="s">
        <v>426</v>
      </c>
      <c r="B118" s="5" t="str">
        <f>issuerTable!A217</f>
        <v>pairBasis</v>
      </c>
      <c r="C118" s="5" t="str">
        <f>issuerTable!B217</f>
        <v>EDF 4 1/8 PERP nc-22</v>
      </c>
      <c r="D118" s="5" t="str">
        <f>issuerTable!C217</f>
        <v>EDF 4 PERP nc-24</v>
      </c>
      <c r="E118" s="18">
        <f>issuerTable!J217</f>
        <v>213.7048695866381</v>
      </c>
      <c r="F118" s="18">
        <f>issuerTable!K217</f>
        <v>325.07721193414682</v>
      </c>
      <c r="G118" s="18">
        <f>issuerTable!M217</f>
        <v>45.458098917350497</v>
      </c>
      <c r="H118" s="18">
        <f ca="1">issuerTable!S217</f>
        <v>16.358098917350517</v>
      </c>
      <c r="I118" s="18">
        <f ca="1">issuerTable!X217</f>
        <v>22.734017284697423</v>
      </c>
    </row>
    <row r="119" spans="1:9" x14ac:dyDescent="0.25">
      <c r="B119" s="5" t="str">
        <f>issuerTable!A218</f>
        <v>pairBasis</v>
      </c>
      <c r="C119" s="5" t="str">
        <f>issuerTable!B218</f>
        <v>EDF 4 PERP nc-24</v>
      </c>
      <c r="D119" s="5" t="str">
        <f>issuerTable!C218</f>
        <v>EDF 5 3/8 PERP nc-25</v>
      </c>
      <c r="E119" s="18">
        <f>issuerTable!J218</f>
        <v>325.07721193414682</v>
      </c>
      <c r="F119" s="18">
        <f>issuerTable!K218</f>
        <v>345.91239407835633</v>
      </c>
      <c r="G119" s="18">
        <f>issuerTable!M218</f>
        <v>36.588612545928903</v>
      </c>
      <c r="H119" s="18">
        <f ca="1">issuerTable!S218</f>
        <v>8.74744181422151</v>
      </c>
      <c r="I119" s="18">
        <f ca="1">issuerTable!X218</f>
        <v>2.6098808386118506</v>
      </c>
    </row>
    <row r="120" spans="1:9" x14ac:dyDescent="0.25">
      <c r="B120" s="5" t="str">
        <f>issuerTable!A219</f>
        <v>pairBasis</v>
      </c>
      <c r="C120" s="5" t="str">
        <f>issuerTable!B219</f>
        <v>EDF 5 3/8 PERP nc-25</v>
      </c>
      <c r="D120" s="5" t="str">
        <f>issuerTable!C219</f>
        <v>EDF 5 PERP nc-26</v>
      </c>
      <c r="E120" s="18">
        <f>issuerTable!J219</f>
        <v>345.91239407835633</v>
      </c>
      <c r="F120" s="18">
        <f>issuerTable!K219</f>
        <v>357.50887889874906</v>
      </c>
      <c r="G120" s="18">
        <f>issuerTable!M219</f>
        <v>11.826443442893439</v>
      </c>
      <c r="H120" s="18">
        <f ca="1">issuerTable!S219</f>
        <v>6.0725624230634141</v>
      </c>
      <c r="I120" s="18">
        <f ca="1">issuerTable!X219</f>
        <v>6.4825340944515029</v>
      </c>
    </row>
    <row r="121" spans="1:9" x14ac:dyDescent="0.25">
      <c r="B121" s="5" t="str">
        <f>issuerTable!A220</f>
        <v>pairBasis</v>
      </c>
      <c r="C121" s="5" t="str">
        <f>issuerTable!B220</f>
        <v>EDF 5 PERP nc-26</v>
      </c>
      <c r="D121" s="5" t="str">
        <f>issuerTable!C220</f>
        <v>EDF 3 PERP nc-27</v>
      </c>
      <c r="E121" s="18">
        <f>issuerTable!J220</f>
        <v>357.50887889874906</v>
      </c>
      <c r="F121" s="18">
        <f>issuerTable!K220</f>
        <v>371.2964660598127</v>
      </c>
      <c r="G121" s="18">
        <f>issuerTable!M220</f>
        <v>8.5430832667519976</v>
      </c>
      <c r="H121" s="18">
        <f ca="1">issuerTable!S220</f>
        <v>11.765114247819152</v>
      </c>
      <c r="I121" s="18">
        <f ca="1">issuerTable!X220</f>
        <v>22.092343163481786</v>
      </c>
    </row>
    <row r="122" spans="1:9" x14ac:dyDescent="0.25">
      <c r="E122" s="18"/>
      <c r="F122" s="18"/>
      <c r="G122" s="18"/>
      <c r="H122" s="18"/>
      <c r="I122" s="18"/>
    </row>
    <row r="123" spans="1:9" x14ac:dyDescent="0.25">
      <c r="E123" s="18"/>
      <c r="F123" s="18"/>
      <c r="G123" s="18"/>
      <c r="H123" s="18"/>
      <c r="I123" s="18"/>
    </row>
    <row r="124" spans="1:9" x14ac:dyDescent="0.25">
      <c r="B124" s="5" t="str">
        <f>issuerTable!A226</f>
        <v>whole curve</v>
      </c>
      <c r="C124" s="5" t="str">
        <f>issuerTable!B226</f>
        <v>EDF 4 1/8 PERP nc-22</v>
      </c>
      <c r="D124" s="5" t="str">
        <f>issuerTable!C226</f>
        <v>EDF 3 PERP nc-27</v>
      </c>
      <c r="E124" s="18">
        <f>issuerTable!J226</f>
        <v>213.7048695866381</v>
      </c>
      <c r="F124" s="18">
        <f>issuerTable!K226</f>
        <v>371.2964660598127</v>
      </c>
      <c r="G124" s="18">
        <f>issuerTable!M226</f>
        <v>28.071734156527885</v>
      </c>
      <c r="H124" s="18">
        <f ca="1">issuerTable!S226</f>
        <v>12.469180965038532</v>
      </c>
      <c r="I124" s="18">
        <f ca="1">issuerTable!X226</f>
        <v>17.669675769590725</v>
      </c>
    </row>
    <row r="126" spans="1:9" x14ac:dyDescent="0.25">
      <c r="E126" s="18"/>
      <c r="F126" s="18"/>
      <c r="G126" s="18"/>
      <c r="H126" s="18"/>
      <c r="I126" s="18"/>
    </row>
    <row r="127" spans="1:9" x14ac:dyDescent="0.25">
      <c r="E127" s="18"/>
      <c r="F127" s="18"/>
      <c r="G127" s="18"/>
      <c r="H127" s="18"/>
      <c r="I127" s="18"/>
    </row>
    <row r="128" spans="1:9" x14ac:dyDescent="0.25">
      <c r="E128" s="18"/>
      <c r="F128" s="18"/>
      <c r="G128" s="18"/>
      <c r="H128" s="18"/>
      <c r="I128" s="18"/>
    </row>
    <row r="129" spans="1:9" x14ac:dyDescent="0.25">
      <c r="E129" s="18"/>
      <c r="F129" s="18"/>
      <c r="G129" s="18"/>
      <c r="H129" s="18"/>
      <c r="I129" s="18"/>
    </row>
    <row r="130" spans="1:9" x14ac:dyDescent="0.25">
      <c r="E130" s="18"/>
      <c r="F130" s="18"/>
      <c r="G130" s="18"/>
      <c r="H130" s="18"/>
      <c r="I130" s="18"/>
    </row>
    <row r="131" spans="1:9" x14ac:dyDescent="0.25">
      <c r="E131" s="18"/>
      <c r="F131" s="18"/>
      <c r="G131" s="18"/>
      <c r="H131" s="18"/>
      <c r="I131" s="18"/>
    </row>
    <row r="132" spans="1:9" x14ac:dyDescent="0.25">
      <c r="E132" s="18"/>
      <c r="F132" s="18"/>
      <c r="G132" s="18"/>
      <c r="H132" s="18"/>
      <c r="I132" s="18"/>
    </row>
    <row r="134" spans="1:9" ht="33" x14ac:dyDescent="0.3">
      <c r="C134" s="19" t="s">
        <v>415</v>
      </c>
      <c r="D134" s="19" t="s">
        <v>416</v>
      </c>
      <c r="E134" s="19" t="s">
        <v>3</v>
      </c>
      <c r="F134" s="19" t="s">
        <v>4</v>
      </c>
      <c r="G134" s="19" t="s">
        <v>5</v>
      </c>
      <c r="H134" s="19" t="s">
        <v>7</v>
      </c>
      <c r="I134" s="19" t="s">
        <v>8</v>
      </c>
    </row>
    <row r="135" spans="1:9" x14ac:dyDescent="0.25">
      <c r="A135" s="5" t="s">
        <v>428</v>
      </c>
      <c r="B135" s="5" t="str">
        <f>issuerTable!A241</f>
        <v>pairBasis</v>
      </c>
      <c r="C135" s="5" t="str">
        <f>issuerTable!B241</f>
        <v>SOLBBB 5.118 PERP nc-21</v>
      </c>
      <c r="D135" s="5" t="str">
        <f>issuerTable!C241</f>
        <v>SOLBBB 5.425 PERP nc-23</v>
      </c>
      <c r="E135" s="18">
        <f>issuerTable!J241</f>
        <v>329.34959167067552</v>
      </c>
      <c r="F135" s="18">
        <f>issuerTable!K241</f>
        <v>300.37002358639518</v>
      </c>
      <c r="G135" s="18">
        <f>issuerTable!M241</f>
        <v>-11.855277852660141</v>
      </c>
      <c r="H135" s="18">
        <f ca="1">issuerTable!S241</f>
        <v>2.6134494200671288</v>
      </c>
      <c r="I135" s="18">
        <f ca="1">issuerTable!X241</f>
        <v>-9.4895051253874065</v>
      </c>
    </row>
    <row r="136" spans="1:9" x14ac:dyDescent="0.25">
      <c r="B136" s="5" t="str">
        <f>issuerTable!A242</f>
        <v>pairBasis</v>
      </c>
      <c r="C136" s="5" t="str">
        <f>issuerTable!B242</f>
        <v>SOLBBB 5.425 PERP nc-23</v>
      </c>
      <c r="D136" s="5" t="str">
        <f>issuerTable!C242</f>
        <v>SOLBBB 4 1/4 PERP nc-23</v>
      </c>
      <c r="E136" s="18">
        <f>issuerTable!J242</f>
        <v>300.37002358639518</v>
      </c>
      <c r="F136" s="18">
        <f>issuerTable!K242</f>
        <v>338.53522138602182</v>
      </c>
      <c r="G136" s="18">
        <f>issuerTable!M242</f>
        <v>624.52141853934506</v>
      </c>
      <c r="H136" s="18">
        <f ca="1">issuerTable!S242</f>
        <v>-34.638581460654677</v>
      </c>
      <c r="I136" s="18">
        <f ca="1">issuerTable!X242</f>
        <v>345.88141853934474</v>
      </c>
    </row>
    <row r="137" spans="1:9" x14ac:dyDescent="0.25">
      <c r="B137" s="5" t="str">
        <f>issuerTable!A243</f>
        <v>pairBasis</v>
      </c>
      <c r="C137" s="5" t="str">
        <f>issuerTable!B243</f>
        <v>SOLBBB 4 1/4 PERP nc-23</v>
      </c>
      <c r="D137" s="5" t="str">
        <f>issuerTable!C243</f>
        <v>SOLBBB 5.869 PERP nc-24</v>
      </c>
      <c r="E137" s="18">
        <f>issuerTable!J243</f>
        <v>338.53522138602182</v>
      </c>
      <c r="F137" s="18">
        <f>issuerTable!K243</f>
        <v>341.90659672868861</v>
      </c>
      <c r="G137" s="18">
        <f>issuerTable!M243</f>
        <v>6.7804196835756771</v>
      </c>
      <c r="H137" s="18">
        <f ca="1">issuerTable!S243</f>
        <v>-11.529300986815354</v>
      </c>
      <c r="I137" s="18">
        <f ca="1">issuerTable!X243</f>
        <v>-17.416004897429922</v>
      </c>
    </row>
    <row r="138" spans="1:9" x14ac:dyDescent="0.25">
      <c r="E138" s="18"/>
      <c r="F138" s="18"/>
      <c r="G138" s="18"/>
      <c r="H138" s="18"/>
      <c r="I138" s="18"/>
    </row>
    <row r="139" spans="1:9" x14ac:dyDescent="0.25">
      <c r="E139" s="18"/>
      <c r="F139" s="18"/>
      <c r="G139" s="18"/>
      <c r="H139" s="18"/>
      <c r="I139" s="18"/>
    </row>
    <row r="140" spans="1:9" x14ac:dyDescent="0.25">
      <c r="B140" s="5" t="str">
        <f>issuerTable!A249</f>
        <v>whole curve</v>
      </c>
      <c r="C140" s="5" t="str">
        <f>issuerTable!B249</f>
        <v>SOLBBB 5.118 PERP nc-21</v>
      </c>
      <c r="D140" s="5" t="str">
        <f>issuerTable!C249</f>
        <v>SOLBBB 5.869 PERP nc-24</v>
      </c>
      <c r="E140" s="18">
        <f>issuerTable!J249</f>
        <v>329.34959167067552</v>
      </c>
      <c r="F140" s="18">
        <f>issuerTable!K249</f>
        <v>341.90659672868861</v>
      </c>
      <c r="G140" s="18">
        <f>issuerTable!M249</f>
        <v>4.1817963190422871</v>
      </c>
      <c r="H140" s="18">
        <f ca="1">issuerTable!S249</f>
        <v>-0.48654780676713916</v>
      </c>
      <c r="I140" s="18">
        <f ca="1">issuerTable!X249</f>
        <v>-3.5696930426598437</v>
      </c>
    </row>
    <row r="146" spans="1:9" x14ac:dyDescent="0.25">
      <c r="A146" s="5" t="s">
        <v>427</v>
      </c>
      <c r="B146" s="5" t="str">
        <f>issuerTable!A264</f>
        <v>pairBasis</v>
      </c>
      <c r="C146" s="5" t="str">
        <f>issuerTable!B264</f>
        <v>BAYNGR 2 3/8 04/02/75 nc-22</v>
      </c>
      <c r="D146" s="5" t="str">
        <f>issuerTable!C264</f>
        <v>BAYNGR 3 3/4 07/01/74 nc-24</v>
      </c>
      <c r="E146" s="18">
        <f>issuerTable!J264</f>
        <v>279.15031872670374</v>
      </c>
      <c r="F146" s="18">
        <f>issuerTable!K264</f>
        <v>297.92803836907791</v>
      </c>
      <c r="G146" s="18">
        <f>issuerTable!M264</f>
        <v>10.747184532996343</v>
      </c>
      <c r="H146" s="18">
        <f ca="1">issuerTable!S264</f>
        <v>10.482764819164871</v>
      </c>
      <c r="I146" s="18">
        <f ca="1">issuerTable!X264</f>
        <v>-2.9110666593724819</v>
      </c>
    </row>
    <row r="147" spans="1:9" x14ac:dyDescent="0.25">
      <c r="B147" s="5" t="str">
        <f>issuerTable!A265</f>
        <v>pairBasis</v>
      </c>
      <c r="C147" s="5" t="str">
        <f>issuerTable!B265</f>
        <v>BAYNGR 3 3/4 07/01/74 nc-24</v>
      </c>
      <c r="D147" s="5" t="str">
        <f>issuerTable!C265</f>
        <v>BAYNGR 2 3/8 11/12/79 nc-25</v>
      </c>
      <c r="E147" s="18">
        <f>issuerTable!J265</f>
        <v>297.92803836907791</v>
      </c>
      <c r="F147" s="18">
        <f>issuerTable!K265</f>
        <v>318.4633970262546</v>
      </c>
      <c r="G147" s="18">
        <f>issuerTable!M265</f>
        <v>33.451262970966546</v>
      </c>
      <c r="H147" s="18">
        <f ca="1">issuerTable!S265</f>
        <v>4.7994982650841962</v>
      </c>
      <c r="I147" s="18">
        <f ca="1">issuerTable!X265</f>
        <v>-17.313623906861487</v>
      </c>
    </row>
    <row r="148" spans="1:9" x14ac:dyDescent="0.25">
      <c r="B148" s="5" t="str">
        <f>issuerTable!A266</f>
        <v>pairBasis</v>
      </c>
      <c r="C148" s="5" t="str">
        <f>issuerTable!B266</f>
        <v>BAYNGR 2 3/8 11/12/79 nc-25</v>
      </c>
      <c r="D148" s="5" t="str">
        <f>issuerTable!C266</f>
        <v>BAYNGR 3 1/8 11/12/79 nc-27</v>
      </c>
      <c r="E148" s="18">
        <f>issuerTable!J266</f>
        <v>318.4633970262546</v>
      </c>
      <c r="F148" s="18">
        <f>issuerTable!K266</f>
        <v>338.55858698132403</v>
      </c>
      <c r="G148" s="18">
        <f>issuerTable!M266</f>
        <v>8.0380759820277721</v>
      </c>
      <c r="H148" s="18">
        <f ca="1">issuerTable!S266</f>
        <v>-1.2915240179722325</v>
      </c>
      <c r="I148" s="18">
        <f ca="1">issuerTable!X266</f>
        <v>-2.3051240179722292</v>
      </c>
    </row>
    <row r="149" spans="1:9" x14ac:dyDescent="0.25">
      <c r="E149" s="18"/>
      <c r="F149" s="18"/>
      <c r="G149" s="18"/>
      <c r="H149" s="18"/>
      <c r="I149" s="18"/>
    </row>
    <row r="150" spans="1:9" x14ac:dyDescent="0.25">
      <c r="E150" s="18"/>
      <c r="F150" s="18"/>
      <c r="G150" s="18"/>
      <c r="H150" s="18"/>
      <c r="I150" s="18"/>
    </row>
    <row r="151" spans="1:9" x14ac:dyDescent="0.25">
      <c r="B151" s="5" t="str">
        <f>issuerTable!A272</f>
        <v>whole curve</v>
      </c>
      <c r="C151" s="5" t="str">
        <f>issuerTable!B272</f>
        <v>BAYNGR 2 3/8 04/02/75 nc-22</v>
      </c>
      <c r="D151" s="5" t="str">
        <f>issuerTable!C272</f>
        <v>BAYNGR 3 1/8 11/12/79 nc-27</v>
      </c>
      <c r="E151" s="18">
        <f>issuerTable!J272</f>
        <v>279.15031872670374</v>
      </c>
      <c r="F151" s="18">
        <f>issuerTable!K272</f>
        <v>338.55858698132403</v>
      </c>
      <c r="G151" s="18">
        <f>issuerTable!M272</f>
        <v>12.221129469521888</v>
      </c>
      <c r="H151" s="18">
        <f ca="1">issuerTable!S272</f>
        <v>3.709700898093315</v>
      </c>
      <c r="I151" s="18">
        <f ca="1">issuerTable!X272</f>
        <v>-4.4182762447638204</v>
      </c>
    </row>
    <row r="156" spans="1:9" x14ac:dyDescent="0.25">
      <c r="A156" s="5" t="s">
        <v>429</v>
      </c>
      <c r="B156" s="5" t="str">
        <f>issuerTable!A288</f>
        <v>pairBasis</v>
      </c>
      <c r="C156" s="5" t="str">
        <f>issuerTable!B288</f>
        <v>MRKGR 2 5/8 12/12/74 nc-21</v>
      </c>
      <c r="D156" s="5" t="str">
        <f>issuerTable!C288</f>
        <v>MRKGR 3 3/8 12/12/74 nc-24</v>
      </c>
      <c r="E156" s="18">
        <f>issuerTable!J288</f>
        <v>227.115512284402</v>
      </c>
      <c r="F156" s="18">
        <f>issuerTable!K288</f>
        <v>183.183931695458</v>
      </c>
      <c r="G156" s="18">
        <f>issuerTable!M288</f>
        <v>-12.551880168269715</v>
      </c>
      <c r="H156" s="18">
        <f ca="1">issuerTable!S288</f>
        <v>-7.4773087396982882</v>
      </c>
      <c r="I156" s="18">
        <f ca="1">issuerTable!X288</f>
        <v>-20.17130873969829</v>
      </c>
    </row>
    <row r="157" spans="1:9" x14ac:dyDescent="0.25">
      <c r="B157" s="5" t="str">
        <f>issuerTable!A289</f>
        <v>pairBasis</v>
      </c>
      <c r="C157" s="5" t="str">
        <f>issuerTable!B289</f>
        <v>MRKGR 3 3/8 12/12/74 nc-24</v>
      </c>
      <c r="D157" s="5" t="str">
        <f>issuerTable!C289</f>
        <v>MRKGR 1 5/8 06/25/79 nc-24</v>
      </c>
      <c r="E157" s="18">
        <f>issuerTable!J289</f>
        <v>183.183931695458</v>
      </c>
      <c r="F157" s="18">
        <f>issuerTable!K289</f>
        <v>194.08227869092465</v>
      </c>
      <c r="G157" s="18">
        <f>issuerTable!M289</f>
        <v>46.707201409142797</v>
      </c>
      <c r="H157" s="18">
        <f ca="1">issuerTable!S289</f>
        <v>-45.8556557337144</v>
      </c>
      <c r="I157" s="18">
        <f ca="1">issuerTable!X289</f>
        <v>-62.561370019428665</v>
      </c>
    </row>
    <row r="158" spans="1:9" x14ac:dyDescent="0.25">
      <c r="B158" s="5" t="str">
        <f>issuerTable!A290</f>
        <v>pairBasis</v>
      </c>
      <c r="C158" s="5" t="str">
        <f>issuerTable!B290</f>
        <v>MRKGR 1 5/8 06/25/79 nc-24</v>
      </c>
      <c r="D158" s="5" t="str">
        <f>issuerTable!C290</f>
        <v>MRKGR 2 7/8 06/25/79 nc-29</v>
      </c>
      <c r="E158" s="18">
        <f>issuerTable!J290</f>
        <v>194.08227869092465</v>
      </c>
      <c r="F158" s="18">
        <f>issuerTable!K290</f>
        <v>246.92841448221063</v>
      </c>
      <c r="G158" s="18">
        <f>issuerTable!M290</f>
        <v>11.693060162792225</v>
      </c>
      <c r="H158" s="18">
        <f ca="1">issuerTable!S290</f>
        <v>1.39068769813335</v>
      </c>
      <c r="I158" s="18">
        <f ca="1">issuerTable!X290</f>
        <v>1.8091019575064262</v>
      </c>
    </row>
    <row r="159" spans="1:9" x14ac:dyDescent="0.25">
      <c r="E159" s="18"/>
      <c r="F159" s="18"/>
      <c r="G159" s="18"/>
      <c r="H159" s="18"/>
      <c r="I159" s="18"/>
    </row>
    <row r="160" spans="1:9" x14ac:dyDescent="0.25">
      <c r="E160" s="18"/>
      <c r="F160" s="18"/>
      <c r="G160" s="18"/>
      <c r="H160" s="18"/>
      <c r="I160" s="18"/>
    </row>
    <row r="161" spans="1:9" x14ac:dyDescent="0.25">
      <c r="B161" s="5" t="str">
        <f>issuerTable!A296</f>
        <v>whole curve</v>
      </c>
      <c r="C161" s="5" t="str">
        <f>issuerTable!B296</f>
        <v>MRKGR 2 5/8 12/12/74 nc-21</v>
      </c>
      <c r="D161" s="5" t="str">
        <f>issuerTable!C296</f>
        <v>MRKGR 2 7/8 06/25/79 nc-29</v>
      </c>
      <c r="E161" s="18">
        <f>issuerTable!J296</f>
        <v>227.115512284402</v>
      </c>
      <c r="F161" s="18">
        <f>issuerTable!K296</f>
        <v>246.92841448221063</v>
      </c>
      <c r="G161" s="18">
        <f>issuerTable!M296</f>
        <v>2.5446467325048538</v>
      </c>
      <c r="H161" s="18">
        <f ca="1">issuerTable!S296</f>
        <v>-3.9281609735243994</v>
      </c>
      <c r="I161" s="18">
        <f ca="1">issuerTable!X296</f>
        <v>-9.892113881123402</v>
      </c>
    </row>
    <row r="166" spans="1:9" x14ac:dyDescent="0.25">
      <c r="A166" s="5" t="s">
        <v>430</v>
      </c>
      <c r="B166" s="5" t="str">
        <f>issuerTable!A311</f>
        <v>pairBasis</v>
      </c>
      <c r="C166" s="5" t="str">
        <f>issuerTable!B311</f>
        <v>REPSM 3 7/8 PERP nc-21</v>
      </c>
      <c r="D166" s="5" t="str">
        <f>issuerTable!C311</f>
        <v>REPSM 4 1/2 03/25/75 nc-25</v>
      </c>
      <c r="E166" s="18">
        <f>issuerTable!J311</f>
        <v>265.33730525304094</v>
      </c>
      <c r="F166" s="18">
        <f>issuerTable!K311</f>
        <v>371.74464883476645</v>
      </c>
      <c r="G166" s="18">
        <f>issuerTable!M311</f>
        <v>26.601835895431378</v>
      </c>
      <c r="H166" s="18">
        <f ca="1">issuerTable!S311</f>
        <v>-2.8029141045686288</v>
      </c>
      <c r="I166" s="18">
        <f ca="1">issuerTable!X311</f>
        <v>27.141085895431374</v>
      </c>
    </row>
    <row r="167" spans="1:9" x14ac:dyDescent="0.25">
      <c r="B167" s="5" t="str">
        <f>issuerTable!A312</f>
        <v>pairBasis</v>
      </c>
      <c r="C167" s="5" t="str">
        <f>issuerTable!B312</f>
        <v>REPSM 4 1/2 03/25/75 nc-25</v>
      </c>
      <c r="D167" s="5" t="str">
        <f>issuerTable!C312</f>
        <v>REPSM 3 3/4 PERP nc-26</v>
      </c>
      <c r="E167" s="18">
        <f>issuerTable!J312</f>
        <v>371.74464883476645</v>
      </c>
      <c r="F167" s="18">
        <f>issuerTable!K312</f>
        <v>389.0336994008839</v>
      </c>
      <c r="G167" s="18">
        <f>issuerTable!M312</f>
        <v>17.988607525440123</v>
      </c>
      <c r="H167" s="18">
        <f ca="1">issuerTable!S312</f>
        <v>-12.091161260687009</v>
      </c>
      <c r="I167" s="18" t="str">
        <f ca="1">issuerTable!X312</f>
        <v>-</v>
      </c>
    </row>
    <row r="168" spans="1:9" x14ac:dyDescent="0.25">
      <c r="B168" s="5" t="str">
        <f>issuerTable!A313</f>
        <v>pairBasis</v>
      </c>
      <c r="C168" s="5" t="str">
        <f>issuerTable!B313</f>
        <v>REPSM 3 3/4 PERP nc-26</v>
      </c>
      <c r="D168" s="5" t="str">
        <f>issuerTable!C313</f>
        <v>REPSM 4.247 PERP nc-28</v>
      </c>
      <c r="E168" s="18">
        <f>issuerTable!J313</f>
        <v>389.0336994008839</v>
      </c>
      <c r="F168" s="18">
        <f>issuerTable!K313</f>
        <v>411.34105047736489</v>
      </c>
      <c r="G168" s="18">
        <f>issuerTable!M313</f>
        <v>8.9229404305923943</v>
      </c>
      <c r="H168" s="18">
        <f ca="1">issuerTable!S313</f>
        <v>2.1205404305923832</v>
      </c>
      <c r="I168" s="18" t="str">
        <f ca="1">issuerTable!X313</f>
        <v>-</v>
      </c>
    </row>
    <row r="169" spans="1:9" x14ac:dyDescent="0.25">
      <c r="E169" s="18"/>
      <c r="F169" s="18"/>
      <c r="G169" s="18"/>
      <c r="H169" s="18"/>
      <c r="I169" s="18"/>
    </row>
    <row r="170" spans="1:9" x14ac:dyDescent="0.25">
      <c r="E170" s="18"/>
      <c r="F170" s="18"/>
      <c r="G170" s="18"/>
      <c r="H170" s="18"/>
      <c r="I170" s="18"/>
    </row>
    <row r="171" spans="1:9" x14ac:dyDescent="0.25">
      <c r="B171" s="5" t="str">
        <f>issuerTable!A319</f>
        <v>whole curve</v>
      </c>
      <c r="C171" s="5" t="str">
        <f>issuerTable!B319</f>
        <v>REPSM 3 7/8 PERP nc-21</v>
      </c>
      <c r="D171" s="5" t="str">
        <f>issuerTable!C319</f>
        <v>REPSM 4.247 PERP nc-28</v>
      </c>
      <c r="E171" s="18">
        <f>issuerTable!J319</f>
        <v>265.33730525304094</v>
      </c>
      <c r="F171" s="18">
        <f>issuerTable!K319</f>
        <v>411.34105047736489</v>
      </c>
      <c r="G171" s="18">
        <f>issuerTable!M319</f>
        <v>19.568633015918326</v>
      </c>
      <c r="H171" s="18">
        <f ca="1">issuerTable!S319</f>
        <v>-2.349684184379516</v>
      </c>
      <c r="I171" s="18" t="str">
        <f ca="1">issuerTable!X319</f>
        <v>-</v>
      </c>
    </row>
    <row r="172" spans="1:9" x14ac:dyDescent="0.25">
      <c r="E172" s="18"/>
      <c r="F172" s="18"/>
      <c r="G172" s="18"/>
      <c r="H172" s="18"/>
      <c r="I172" s="18"/>
    </row>
    <row r="173" spans="1:9" x14ac:dyDescent="0.25">
      <c r="E173" s="18"/>
      <c r="F173" s="18"/>
      <c r="G173" s="18"/>
      <c r="H173" s="18"/>
      <c r="I173" s="18"/>
    </row>
    <row r="174" spans="1:9" x14ac:dyDescent="0.25">
      <c r="E174" s="18"/>
      <c r="F174" s="18"/>
      <c r="G174" s="18"/>
      <c r="H174" s="18"/>
      <c r="I174" s="18"/>
    </row>
    <row r="178" spans="1:9" ht="33" x14ac:dyDescent="0.3">
      <c r="C178" s="19" t="s">
        <v>415</v>
      </c>
      <c r="D178" s="19" t="s">
        <v>416</v>
      </c>
      <c r="E178" s="19" t="s">
        <v>3</v>
      </c>
      <c r="F178" s="19" t="s">
        <v>4</v>
      </c>
      <c r="G178" s="19" t="s">
        <v>5</v>
      </c>
      <c r="H178" s="19" t="s">
        <v>7</v>
      </c>
      <c r="I178" s="19" t="s">
        <v>8</v>
      </c>
    </row>
    <row r="179" spans="1:9" x14ac:dyDescent="0.25">
      <c r="A179" s="5" t="s">
        <v>431</v>
      </c>
      <c r="B179" s="5" t="str">
        <f>issuerTable!A334</f>
        <v>pairBasis</v>
      </c>
      <c r="C179" s="5" t="str">
        <f>issuerTable!B334</f>
        <v>ENELIM 2 1/2 11/24/78 nc-23</v>
      </c>
      <c r="D179" s="5" t="str">
        <f>issuerTable!C334</f>
        <v>ENELIM 5.451 01/10/74 nc-24</v>
      </c>
      <c r="E179" s="18">
        <f>issuerTable!J334</f>
        <v>269.84863898480842</v>
      </c>
      <c r="F179" s="18">
        <f>issuerTable!K334</f>
        <v>253.52477665697495</v>
      </c>
      <c r="G179" s="18">
        <f>issuerTable!M334</f>
        <v>-43.210223808970945</v>
      </c>
      <c r="H179" s="18">
        <f ca="1">issuerTable!S334</f>
        <v>-28.759929691323876</v>
      </c>
      <c r="I179" s="18">
        <f ca="1">issuerTable!X334</f>
        <v>-11.040517926618101</v>
      </c>
    </row>
    <row r="180" spans="1:9" x14ac:dyDescent="0.25">
      <c r="B180" s="5" t="str">
        <f>issuerTable!A335</f>
        <v>pairBasis</v>
      </c>
      <c r="C180" s="5" t="str">
        <f>issuerTable!B335</f>
        <v>ENELIM 5.451 01/10/74 nc-24</v>
      </c>
      <c r="D180" s="5" t="str">
        <f>issuerTable!C335</f>
        <v>ENELIM 3 1/2 05/24/80 nc-25</v>
      </c>
      <c r="E180" s="18">
        <f>issuerTable!J335</f>
        <v>253.52477665697495</v>
      </c>
      <c r="F180" s="18">
        <f>issuerTable!K335</f>
        <v>285.53598312569096</v>
      </c>
      <c r="G180" s="18">
        <f>issuerTable!M335</f>
        <v>28.524837447370704</v>
      </c>
      <c r="H180" s="18">
        <f ca="1">issuerTable!S335</f>
        <v>0.48850081370731857</v>
      </c>
      <c r="I180" s="18">
        <f ca="1">issuerTable!X335</f>
        <v>10.910679031529124</v>
      </c>
    </row>
    <row r="181" spans="1:9" x14ac:dyDescent="0.25">
      <c r="B181" s="5" t="str">
        <f>issuerTable!A336</f>
        <v>pairBasis</v>
      </c>
      <c r="C181" s="5" t="str">
        <f>issuerTable!B336</f>
        <v>ENELIM 3 1/2 05/24/80 nc-25</v>
      </c>
      <c r="D181" s="5" t="str">
        <f>issuerTable!C336</f>
        <v>ENELIM 3 3/8 11/24/81 nc-26</v>
      </c>
      <c r="E181" s="18">
        <f>issuerTable!J336</f>
        <v>285.53598312569096</v>
      </c>
      <c r="F181" s="18">
        <f>issuerTable!K336</f>
        <v>306.75918125557791</v>
      </c>
      <c r="G181" s="18">
        <f>issuerTable!M336</f>
        <v>14.148798753257969</v>
      </c>
      <c r="H181" s="18">
        <f ca="1">issuerTable!S336</f>
        <v>3.1481320865913176</v>
      </c>
      <c r="I181" s="18">
        <f ca="1">issuerTable!X336</f>
        <v>-3.6878679134086934</v>
      </c>
    </row>
    <row r="182" spans="1:9" x14ac:dyDescent="0.25">
      <c r="E182" s="18"/>
      <c r="F182" s="18"/>
      <c r="G182" s="18"/>
      <c r="H182" s="18"/>
      <c r="I182" s="18"/>
    </row>
    <row r="183" spans="1:9" x14ac:dyDescent="0.25">
      <c r="E183" s="18"/>
      <c r="F183" s="18"/>
      <c r="G183" s="18"/>
      <c r="H183" s="18"/>
      <c r="I183" s="18"/>
    </row>
    <row r="184" spans="1:9" x14ac:dyDescent="0.25">
      <c r="B184" s="5" t="str">
        <f>issuerTable!A342</f>
        <v>whole curve</v>
      </c>
      <c r="C184" s="5" t="str">
        <f>issuerTable!B342</f>
        <v>ENELIM 2 1/2 11/24/78 nc-23</v>
      </c>
      <c r="D184" s="5" t="str">
        <f>issuerTable!C342</f>
        <v>ENELIM 3 3/8 11/24/81 nc-26</v>
      </c>
      <c r="E184" s="18">
        <f>issuerTable!J342</f>
        <v>269.84863898480842</v>
      </c>
      <c r="F184" s="18">
        <f>issuerTable!K342</f>
        <v>306.75918125557791</v>
      </c>
      <c r="G184" s="18">
        <f>issuerTable!M342</f>
        <v>12.303514090256499</v>
      </c>
      <c r="H184" s="18">
        <f ca="1">issuerTable!S342</f>
        <v>-1.8648192430768322</v>
      </c>
      <c r="I184" s="18">
        <f ca="1">issuerTable!X342</f>
        <v>0.84718075692315686</v>
      </c>
    </row>
    <row r="188" spans="1:9" x14ac:dyDescent="0.25">
      <c r="A188" s="5" t="s">
        <v>432</v>
      </c>
      <c r="B188" s="5" t="s">
        <v>433</v>
      </c>
    </row>
    <row r="192" spans="1:9" x14ac:dyDescent="0.25">
      <c r="A192" s="5" t="s">
        <v>130</v>
      </c>
      <c r="B192" s="5" t="str">
        <f>issuerTable!A380</f>
        <v>pairBasis</v>
      </c>
      <c r="C192" s="5" t="str">
        <f>issuerTable!B380</f>
        <v>AKEFP 4 3/4 PERP nc-20</v>
      </c>
      <c r="D192" s="5" t="str">
        <f>issuerTable!C380</f>
        <v>AKEFP 2 3/4 PERP nc-24</v>
      </c>
      <c r="E192" s="18">
        <f>issuerTable!J380</f>
        <v>182.59988305819181</v>
      </c>
      <c r="F192" s="18">
        <f>issuerTable!K380</f>
        <v>300.5382049231369</v>
      </c>
      <c r="G192" s="18">
        <f>issuerTable!M380</f>
        <v>32.46008858668214</v>
      </c>
      <c r="H192" s="18">
        <f ca="1">issuerTable!S380</f>
        <v>20.227244549984892</v>
      </c>
      <c r="I192" s="18">
        <f ca="1">issuerTable!X380</f>
        <v>-2.5587187527674047</v>
      </c>
    </row>
    <row r="193" spans="1:9" x14ac:dyDescent="0.25">
      <c r="B193" s="5" t="str">
        <f>issuerTable!A381</f>
        <v>pairBasis</v>
      </c>
      <c r="C193" s="5" t="str">
        <f>issuerTable!B381</f>
        <v>AKEFP 2 3/4 PERP nc-24</v>
      </c>
      <c r="D193" s="5" t="str">
        <f>issuerTable!C381</f>
        <v>AKEFP 1 1/2 PERP nc-25</v>
      </c>
      <c r="E193" s="18">
        <f>issuerTable!J381</f>
        <v>300.5382049231369</v>
      </c>
      <c r="F193" s="18">
        <f>issuerTable!K381</f>
        <v>291.45403442385856</v>
      </c>
      <c r="G193" s="18">
        <f>issuerTable!M381</f>
        <v>-6.7568210325210813</v>
      </c>
      <c r="H193" s="18">
        <f ca="1">issuerTable!S381</f>
        <v>-4.9121929333475141</v>
      </c>
      <c r="I193" s="18">
        <f ca="1">issuerTable!X381</f>
        <v>-3.1865730986367757</v>
      </c>
    </row>
    <row r="194" spans="1:9" x14ac:dyDescent="0.25">
      <c r="E194" s="18"/>
      <c r="F194" s="18"/>
      <c r="G194" s="18"/>
      <c r="H194" s="18"/>
      <c r="I194" s="18"/>
    </row>
    <row r="195" spans="1:9" x14ac:dyDescent="0.25">
      <c r="B195" s="5" t="str">
        <f>issuerTable!A383</f>
        <v>whole curve</v>
      </c>
      <c r="C195" s="5" t="str">
        <f>issuerTable!B383</f>
        <v>AKEFP 4 3/4 PERP nc-20</v>
      </c>
      <c r="D195" s="5" t="str">
        <f>issuerTable!C383</f>
        <v>AKEFP 1 1/2 PERP nc-25</v>
      </c>
      <c r="E195" s="18">
        <f>issuerTable!J383</f>
        <v>182.59988305819181</v>
      </c>
      <c r="F195" s="18">
        <f>issuerTable!K383</f>
        <v>291.45403442385856</v>
      </c>
      <c r="G195" s="18">
        <f>issuerTable!M383</f>
        <v>21.868021479709839</v>
      </c>
      <c r="H195" s="18">
        <f ca="1">issuerTable!S383</f>
        <v>13.437351836852701</v>
      </c>
      <c r="I195" s="18">
        <f ca="1">issuerTable!X383</f>
        <v>-2.7282954845758773</v>
      </c>
    </row>
    <row r="196" spans="1:9" x14ac:dyDescent="0.25">
      <c r="E196" s="18"/>
      <c r="F196" s="18"/>
      <c r="G196" s="18"/>
      <c r="H196" s="18"/>
      <c r="I196" s="18"/>
    </row>
    <row r="197" spans="1:9" x14ac:dyDescent="0.25">
      <c r="E197" s="18"/>
      <c r="F197" s="18"/>
      <c r="G197" s="18"/>
      <c r="H197" s="18"/>
      <c r="I197" s="18"/>
    </row>
    <row r="198" spans="1:9" x14ac:dyDescent="0.25">
      <c r="A198" s="5" t="s">
        <v>435</v>
      </c>
      <c r="B198" s="5" t="str">
        <f>issuerTable!A399</f>
        <v>pairBasis</v>
      </c>
      <c r="C198" s="5" t="str">
        <f>issuerTable!B399</f>
        <v>ERFFP 2 7/8 PERP nc-22</v>
      </c>
      <c r="D198" s="5" t="str">
        <f>issuerTable!C399</f>
        <v>ERFFP 4 7/8 PERP nc-23</v>
      </c>
      <c r="E198" s="18">
        <f>issuerTable!J399</f>
        <v>423.71405062033693</v>
      </c>
      <c r="F198" s="18">
        <f>issuerTable!K399</f>
        <v>353.09218879443989</v>
      </c>
      <c r="G198" s="18">
        <f>issuerTable!M399</f>
        <v>-98.542132780321452</v>
      </c>
      <c r="H198" s="18">
        <f ca="1">issuerTable!S399</f>
        <v>-9.9639932454377345</v>
      </c>
      <c r="I198" s="18">
        <f ca="1">issuerTable!X399</f>
        <v>0.58205326619015807</v>
      </c>
    </row>
    <row r="199" spans="1:9" x14ac:dyDescent="0.25">
      <c r="B199" s="5" t="str">
        <f>issuerTable!A400</f>
        <v>pairBasis</v>
      </c>
      <c r="C199" s="5" t="str">
        <f>issuerTable!B400</f>
        <v>ERFFP 4 7/8 PERP nc-23</v>
      </c>
      <c r="D199" s="5" t="str">
        <f>issuerTable!C400</f>
        <v>ERFFP 3 1/4 PERP nc-25</v>
      </c>
      <c r="E199" s="18">
        <f>issuerTable!J400</f>
        <v>353.09218879443989</v>
      </c>
      <c r="F199" s="18">
        <f>issuerTable!K400</f>
        <v>433.89597407782014</v>
      </c>
      <c r="G199" s="18">
        <f>issuerTable!M400</f>
        <v>31.826436216648677</v>
      </c>
      <c r="H199" s="18">
        <f ca="1">issuerTable!S400</f>
        <v>6.8793027374364364</v>
      </c>
      <c r="I199" s="18">
        <f ca="1">issuerTable!X400</f>
        <v>4.6499810744167327</v>
      </c>
    </row>
    <row r="200" spans="1:9" x14ac:dyDescent="0.25">
      <c r="E200" s="18"/>
      <c r="F200" s="18"/>
      <c r="G200" s="18"/>
      <c r="H200" s="18"/>
      <c r="I200" s="18"/>
    </row>
    <row r="201" spans="1:9" x14ac:dyDescent="0.25">
      <c r="B201" s="5" t="str">
        <f>issuerTable!A402</f>
        <v>whole curve</v>
      </c>
      <c r="C201" s="5" t="str">
        <f>issuerTable!B402</f>
        <v>ERFFP 2 7/8 PERP nc-22</v>
      </c>
      <c r="D201" s="5" t="str">
        <f>issuerTable!C402</f>
        <v>ERFFP 3 1/4 PERP nc-25</v>
      </c>
      <c r="E201" s="18">
        <f>issuerTable!J402</f>
        <v>423.71405062033693</v>
      </c>
      <c r="F201" s="18">
        <f>issuerTable!K402</f>
        <v>433.89597407782014</v>
      </c>
      <c r="G201" s="18">
        <f>issuerTable!M402</f>
        <v>3.1275532804555928</v>
      </c>
      <c r="H201" s="18">
        <f ca="1">issuerTable!S402</f>
        <v>3.1714781951313697</v>
      </c>
      <c r="I201" s="18">
        <f ca="1">issuerTable!X402</f>
        <v>3.7544816081006429</v>
      </c>
    </row>
    <row r="202" spans="1:9" x14ac:dyDescent="0.25">
      <c r="E202" s="18"/>
      <c r="F202" s="18"/>
      <c r="G202" s="18"/>
      <c r="H202" s="18"/>
      <c r="I202" s="18"/>
    </row>
    <row r="203" spans="1:9" x14ac:dyDescent="0.25">
      <c r="E203" s="18"/>
      <c r="F203" s="18"/>
      <c r="G203" s="18"/>
      <c r="H203" s="18"/>
      <c r="I203" s="18"/>
    </row>
    <row r="204" spans="1:9" x14ac:dyDescent="0.25">
      <c r="A204" s="5" t="s">
        <v>436</v>
      </c>
      <c r="B204" s="5" t="str">
        <f>issuerTable!A418</f>
        <v>pairBasis</v>
      </c>
      <c r="C204" s="5" t="str">
        <f>issuerTable!B418</f>
        <v>OMVAV 5 1/4 PERP nc-21</v>
      </c>
      <c r="D204" s="5" t="str">
        <f>issuerTable!C418</f>
        <v>OMVAV 2 7/8 PERP nc-24</v>
      </c>
      <c r="E204" s="18">
        <f>issuerTable!J418</f>
        <v>227.4233800633084</v>
      </c>
      <c r="F204" s="18">
        <f>issuerTable!K418</f>
        <v>294.91114796592603</v>
      </c>
      <c r="G204" s="18">
        <f>issuerTable!M418</f>
        <v>29.628776152368719</v>
      </c>
      <c r="H204" s="18">
        <f ca="1">issuerTable!S418</f>
        <v>-6.9248336037288389</v>
      </c>
      <c r="I204" s="18">
        <f ca="1">issuerTable!X418</f>
        <v>11.560727371880901</v>
      </c>
    </row>
    <row r="205" spans="1:9" x14ac:dyDescent="0.25">
      <c r="B205" s="5" t="str">
        <f>issuerTable!A419</f>
        <v>pairBasis</v>
      </c>
      <c r="C205" s="5" t="str">
        <f>issuerTable!B419</f>
        <v>OMVAV 2 7/8 PERP nc-24</v>
      </c>
      <c r="D205" s="5" t="str">
        <f>issuerTable!C419</f>
        <v>OMVAV 6 1/4 PERP nc-25</v>
      </c>
      <c r="E205" s="18">
        <f>issuerTable!J419</f>
        <v>294.91114796592603</v>
      </c>
      <c r="F205" s="18">
        <f>issuerTable!K419</f>
        <v>296.87237203567099</v>
      </c>
      <c r="G205" s="18">
        <f>issuerTable!M419</f>
        <v>1.1387752663035238</v>
      </c>
      <c r="H205" s="18">
        <f ca="1">issuerTable!S419</f>
        <v>-1.0409666691803581</v>
      </c>
      <c r="I205" s="18">
        <f ca="1">issuerTable!X419</f>
        <v>-9.6530957014384189</v>
      </c>
    </row>
    <row r="206" spans="1:9" x14ac:dyDescent="0.25">
      <c r="E206" s="18"/>
      <c r="F206" s="18"/>
      <c r="G206" s="18"/>
      <c r="H206" s="18"/>
      <c r="I206" s="18"/>
    </row>
    <row r="207" spans="1:9" x14ac:dyDescent="0.25">
      <c r="B207" s="5" t="str">
        <f>issuerTable!A421</f>
        <v>whole curve</v>
      </c>
      <c r="C207" s="5" t="str">
        <f>issuerTable!B421</f>
        <v>OMVAV 5 1/4 PERP nc-21</v>
      </c>
      <c r="D207" s="5" t="str">
        <f>issuerTable!C421</f>
        <v>OMVAV 6 1/4 PERP nc-25</v>
      </c>
      <c r="E207" s="18">
        <f>issuerTable!J421</f>
        <v>227.4233800633084</v>
      </c>
      <c r="F207" s="18">
        <f>issuerTable!K421</f>
        <v>296.87237203567099</v>
      </c>
      <c r="G207" s="18">
        <f>issuerTable!M421</f>
        <v>17.362247993090648</v>
      </c>
      <c r="H207" s="18">
        <f ca="1">issuerTable!S421</f>
        <v>-4.3915020069093558</v>
      </c>
      <c r="I207" s="18">
        <f ca="1">issuerTable!X421</f>
        <v>2.4269979930906374</v>
      </c>
    </row>
    <row r="208" spans="1:9" x14ac:dyDescent="0.25">
      <c r="E208" s="18"/>
      <c r="F208" s="18"/>
      <c r="G208" s="18"/>
      <c r="H208" s="18"/>
      <c r="I208" s="18"/>
    </row>
    <row r="209" spans="1:9" x14ac:dyDescent="0.25">
      <c r="E209" s="18"/>
      <c r="F209" s="18"/>
      <c r="G209" s="18"/>
      <c r="H209" s="18"/>
      <c r="I209" s="18"/>
    </row>
    <row r="210" spans="1:9" x14ac:dyDescent="0.25">
      <c r="E210" s="18"/>
      <c r="F210" s="18"/>
      <c r="G210" s="18"/>
      <c r="H210" s="18"/>
      <c r="I210" s="18"/>
    </row>
    <row r="211" spans="1:9" x14ac:dyDescent="0.25">
      <c r="A211" s="5" t="s">
        <v>437</v>
      </c>
      <c r="B211" s="5" t="str">
        <f>issuerTable!A436</f>
        <v>pairBasis</v>
      </c>
      <c r="C211" s="5" t="str">
        <f>issuerTable!B436</f>
        <v>SEVFP 2 1/2 PERP nc-22</v>
      </c>
      <c r="D211" s="5" t="str">
        <f>issuerTable!C436</f>
        <v>SEVFP 2 7/8 PERP nc-24</v>
      </c>
      <c r="E211" s="18">
        <f>issuerTable!J436</f>
        <v>252.07128190560547</v>
      </c>
      <c r="F211" s="18">
        <f>issuerTable!K436</f>
        <v>280.22688927057169</v>
      </c>
      <c r="G211" s="18">
        <f>issuerTable!M436</f>
        <v>15.617902390428101</v>
      </c>
      <c r="H211" s="18">
        <f ca="1">issuerTable!S436</f>
        <v>0.2371936076854162</v>
      </c>
      <c r="I211" s="18">
        <f ca="1">issuerTable!X436</f>
        <v>-1.7918973014055002</v>
      </c>
    </row>
    <row r="212" spans="1:9" x14ac:dyDescent="0.25">
      <c r="B212" s="5" t="str">
        <f>issuerTable!A437</f>
        <v>pairBasis</v>
      </c>
      <c r="C212" s="5" t="str">
        <f>issuerTable!B437</f>
        <v>SEVFP 2 7/8 PERP nc-24</v>
      </c>
      <c r="D212" s="5" t="str">
        <f>issuerTable!C437</f>
        <v>SEVFP 1 5/8 PERP nc-26</v>
      </c>
      <c r="E212" s="18">
        <f>issuerTable!J437</f>
        <v>280.22688927057169</v>
      </c>
      <c r="F212" s="18">
        <f>issuerTable!K437</f>
        <v>290.73703941537696</v>
      </c>
      <c r="G212" s="18">
        <f>issuerTable!M437</f>
        <v>4.4409085118895488</v>
      </c>
      <c r="H212" s="18">
        <f ca="1">issuerTable!S437</f>
        <v>-1.6410633190963448</v>
      </c>
      <c r="I212" s="18">
        <f ca="1">issuerTable!X437</f>
        <v>-1.2269788120541074</v>
      </c>
    </row>
    <row r="213" spans="1:9" x14ac:dyDescent="0.25">
      <c r="E213" s="18"/>
      <c r="F213" s="18"/>
      <c r="G213" s="18"/>
      <c r="H213" s="18"/>
      <c r="I213" s="18"/>
    </row>
    <row r="214" spans="1:9" x14ac:dyDescent="0.25">
      <c r="B214" s="5" t="str">
        <f>issuerTable!A439</f>
        <v>whole curve</v>
      </c>
      <c r="C214" s="5" t="str">
        <f>issuerTable!B439</f>
        <v>SEVFP 2 1/2 PERP nc-22</v>
      </c>
      <c r="D214" s="5" t="str">
        <f>issuerTable!C439</f>
        <v>SEVFP 1 5/8 PERP nc-26</v>
      </c>
      <c r="E214" s="18">
        <f>issuerTable!J439</f>
        <v>252.07128190560547</v>
      </c>
      <c r="F214" s="18">
        <f>issuerTable!K439</f>
        <v>290.73703941537696</v>
      </c>
      <c r="G214" s="18">
        <f>issuerTable!M439</f>
        <v>9.2735994027433275</v>
      </c>
      <c r="H214" s="18">
        <f ca="1">issuerTable!S439</f>
        <v>-0.8289455672766497</v>
      </c>
      <c r="I214" s="18">
        <f ca="1">issuerTable!X439</f>
        <v>-1.4712373727396866</v>
      </c>
    </row>
    <row r="215" spans="1:9" x14ac:dyDescent="0.25">
      <c r="E215" s="18"/>
      <c r="F215" s="18"/>
      <c r="G215" s="18"/>
      <c r="H215" s="18"/>
      <c r="I215" s="18"/>
    </row>
    <row r="216" spans="1:9" x14ac:dyDescent="0.25">
      <c r="E216" s="18"/>
      <c r="F216" s="18"/>
      <c r="G216" s="18"/>
      <c r="H216" s="18"/>
      <c r="I216" s="18"/>
    </row>
    <row r="217" spans="1:9" x14ac:dyDescent="0.25">
      <c r="E217" s="18"/>
      <c r="F217" s="18"/>
      <c r="G217" s="18"/>
      <c r="H217" s="18"/>
      <c r="I217" s="18"/>
    </row>
    <row r="218" spans="1:9" x14ac:dyDescent="0.25">
      <c r="E218" s="18"/>
      <c r="F218" s="18"/>
      <c r="G218" s="18"/>
      <c r="H218" s="18"/>
      <c r="I218" s="18"/>
    </row>
    <row r="219" spans="1:9" x14ac:dyDescent="0.25">
      <c r="E219" s="18"/>
      <c r="F219" s="18"/>
      <c r="G219" s="18"/>
      <c r="H219" s="18"/>
      <c r="I219" s="18"/>
    </row>
    <row r="220" spans="1:9" x14ac:dyDescent="0.25">
      <c r="E220" s="18"/>
      <c r="F220" s="18"/>
      <c r="G220" s="18"/>
      <c r="H220" s="18"/>
      <c r="I220" s="18"/>
    </row>
    <row r="221" spans="1:9" x14ac:dyDescent="0.25">
      <c r="E221" s="18"/>
      <c r="F221" s="18"/>
      <c r="G221" s="18"/>
      <c r="H221" s="18"/>
      <c r="I221" s="18"/>
    </row>
    <row r="222" spans="1:9" ht="33" x14ac:dyDescent="0.3">
      <c r="C222" s="19" t="s">
        <v>415</v>
      </c>
      <c r="D222" s="19" t="s">
        <v>416</v>
      </c>
      <c r="E222" s="19" t="s">
        <v>3</v>
      </c>
      <c r="F222" s="19" t="s">
        <v>4</v>
      </c>
      <c r="G222" s="19" t="s">
        <v>5</v>
      </c>
      <c r="H222" s="19" t="s">
        <v>7</v>
      </c>
      <c r="I222" s="19" t="s">
        <v>8</v>
      </c>
    </row>
    <row r="223" spans="1:9" x14ac:dyDescent="0.25">
      <c r="A223" s="5" t="s">
        <v>438</v>
      </c>
      <c r="B223" s="5" t="str">
        <f>issuerTable!A453</f>
        <v>pairBasis</v>
      </c>
      <c r="C223" s="5" t="str">
        <f>issuerTable!B453</f>
        <v>IBESM 1 7/8 PERP nc-23</v>
      </c>
      <c r="D223" s="5" t="str">
        <f>issuerTable!C453</f>
        <v>IBESM 2 5/8 PERP nc-24</v>
      </c>
      <c r="E223" s="18">
        <f>issuerTable!J453</f>
        <v>213.05160684913224</v>
      </c>
      <c r="F223" s="18">
        <f>issuerTable!K453</f>
        <v>205.62537450718247</v>
      </c>
      <c r="G223" s="18">
        <f>issuerTable!M453</f>
        <v>-6.7853899571114651</v>
      </c>
      <c r="H223" s="18">
        <f ca="1">issuerTable!S453</f>
        <v>0.89704659111187279</v>
      </c>
      <c r="I223" s="18">
        <f ca="1">issuerTable!X453</f>
        <v>-9.5128011246241417</v>
      </c>
    </row>
    <row r="224" spans="1:9" x14ac:dyDescent="0.25">
      <c r="B224" s="5" t="str">
        <f>issuerTable!A454</f>
        <v>pairBasis</v>
      </c>
      <c r="C224" s="5" t="str">
        <f>issuerTable!B454</f>
        <v>IBESM 2 5/8 PERP nc-24</v>
      </c>
      <c r="D224" s="5" t="str">
        <f>issuerTable!C454</f>
        <v>IBESM 3 1/4 PERP nc-24</v>
      </c>
      <c r="E224" s="18">
        <f>issuerTable!J454</f>
        <v>205.62537450718247</v>
      </c>
      <c r="F224" s="18">
        <f>issuerTable!K454</f>
        <v>214.51604056760806</v>
      </c>
      <c r="G224" s="18">
        <f>issuerTable!M454</f>
        <v>14.162122928111556</v>
      </c>
      <c r="H224" s="18">
        <f ca="1">issuerTable!S454</f>
        <v>14.992034432536359</v>
      </c>
      <c r="I224" s="18">
        <f ca="1">issuerTable!X454</f>
        <v>11.8253087688195</v>
      </c>
    </row>
    <row r="225" spans="1:9" x14ac:dyDescent="0.25">
      <c r="E225" s="18"/>
      <c r="F225" s="18"/>
      <c r="G225" s="18"/>
      <c r="H225" s="18"/>
      <c r="I225" s="18"/>
    </row>
    <row r="226" spans="1:9" x14ac:dyDescent="0.25">
      <c r="B226" s="5" t="str">
        <f>issuerTable!A456</f>
        <v>whole curve</v>
      </c>
      <c r="C226" s="5" t="str">
        <f>issuerTable!B456</f>
        <v>IBESM 1 7/8 PERP nc-23</v>
      </c>
      <c r="D226" s="5" t="str">
        <f>issuerTable!C456</f>
        <v>IBESM 3 1/4 PERP nc-24</v>
      </c>
      <c r="E226" s="18">
        <f>issuerTable!J456</f>
        <v>213.05160684913224</v>
      </c>
      <c r="F226" s="18">
        <f>issuerTable!K456</f>
        <v>214.51604056760806</v>
      </c>
      <c r="G226" s="18">
        <f>issuerTable!M456</f>
        <v>0.85031635266337768</v>
      </c>
      <c r="H226" s="18">
        <f ca="1">issuerTable!S456</f>
        <v>6.0348969978246689</v>
      </c>
      <c r="I226" s="18">
        <f ca="1">issuerTable!X456</f>
        <v>-1.7347159054011374</v>
      </c>
    </row>
    <row r="227" spans="1:9" x14ac:dyDescent="0.25">
      <c r="E227" s="18"/>
      <c r="F227" s="18"/>
      <c r="G227" s="18"/>
      <c r="H227" s="18"/>
      <c r="I227" s="18"/>
    </row>
    <row r="228" spans="1:9" x14ac:dyDescent="0.25">
      <c r="E228" s="18"/>
      <c r="F228" s="18"/>
      <c r="G228" s="18"/>
      <c r="H228" s="18"/>
      <c r="I228" s="18"/>
    </row>
    <row r="231" spans="1:9" x14ac:dyDescent="0.25">
      <c r="A231" s="5" t="s">
        <v>49</v>
      </c>
      <c r="B231" s="5" t="s">
        <v>440</v>
      </c>
    </row>
    <row r="234" spans="1:9" x14ac:dyDescent="0.25">
      <c r="A234" s="5" t="s">
        <v>441</v>
      </c>
      <c r="B234" s="5" t="s">
        <v>442</v>
      </c>
    </row>
  </sheetData>
  <conditionalFormatting sqref="B2:B23">
    <cfRule type="dataBar" priority="1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{492B07E1-1F6D-4F76-A718-E57E2ACB4C68}</x14:id>
        </ext>
      </extLst>
    </cfRule>
  </conditionalFormatting>
  <conditionalFormatting sqref="G28:G37">
    <cfRule type="dataBar" priority="1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{D4DA7778-F115-46D9-999B-434B7EEE5995}</x14:id>
        </ext>
      </extLst>
    </cfRule>
  </conditionalFormatting>
  <conditionalFormatting sqref="G48:G55">
    <cfRule type="dataBar" priority="1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{8DFA0B08-A446-4A0B-9D04-CAF41396FBC9}</x14:id>
        </ext>
      </extLst>
    </cfRule>
  </conditionalFormatting>
  <conditionalFormatting sqref="G65:G69">
    <cfRule type="dataBar" priority="1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{199D3665-D119-4B36-83B8-FFC2DFE584DB}</x14:id>
        </ext>
      </extLst>
    </cfRule>
  </conditionalFormatting>
  <conditionalFormatting sqref="G106:G109">
    <cfRule type="dataBar" priority="1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{D17FB237-6FE8-4CCF-A00F-75BCDB68FCDC}</x14:id>
        </ext>
      </extLst>
    </cfRule>
  </conditionalFormatting>
  <conditionalFormatting sqref="G78:G82">
    <cfRule type="dataBar" priority="1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{18739700-2CEF-4373-A4AF-BD7F71AB3601}</x14:id>
        </ext>
      </extLst>
    </cfRule>
  </conditionalFormatting>
  <conditionalFormatting sqref="G92:G95">
    <cfRule type="dataBar" priority="2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{21B9B532-7A3D-415C-B8F2-E60C7198B4C5}</x14:id>
        </ext>
      </extLst>
    </cfRule>
  </conditionalFormatting>
  <conditionalFormatting sqref="G118:G121">
    <cfRule type="dataBar" priority="1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{E36A7CA1-0623-44A6-B30D-D33D177288AC}</x14:id>
        </ext>
      </extLst>
    </cfRule>
  </conditionalFormatting>
  <conditionalFormatting sqref="G135:G137">
    <cfRule type="dataBar" priority="1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{4FF5FAFA-9F1E-462F-8EA5-4E155B2CA376}</x14:id>
        </ext>
      </extLst>
    </cfRule>
  </conditionalFormatting>
  <conditionalFormatting sqref="G146:G148">
    <cfRule type="dataBar" priority="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{CC15565E-96C9-4E06-914A-480C5DCA1D8C}</x14:id>
        </ext>
      </extLst>
    </cfRule>
  </conditionalFormatting>
  <conditionalFormatting sqref="G156:G158">
    <cfRule type="dataBar" priority="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{85C31257-9804-44FC-907A-3A429A3F219B}</x14:id>
        </ext>
      </extLst>
    </cfRule>
  </conditionalFormatting>
  <conditionalFormatting sqref="G166:G168">
    <cfRule type="dataBar" priority="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{345238E3-65C5-4BE4-9109-0E31A915EC9B}</x14:id>
        </ext>
      </extLst>
    </cfRule>
  </conditionalFormatting>
  <conditionalFormatting sqref="G179:G181"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{14BF1FAD-9898-415B-8925-4343F2351F12}</x14:id>
        </ext>
      </extLst>
    </cfRule>
  </conditionalFormatting>
  <conditionalFormatting sqref="G192:G193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{54D8FF1E-6A01-4010-90BB-5C0B054D31FD}</x14:id>
        </ext>
      </extLst>
    </cfRule>
  </conditionalFormatting>
  <conditionalFormatting sqref="G198:G199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{72E813C9-46D0-4AE1-AC03-E48ECE8F6241}</x14:id>
        </ext>
      </extLst>
    </cfRule>
  </conditionalFormatting>
  <conditionalFormatting sqref="G204:G205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{BFDF7DE1-33E9-4219-BB11-C12580FA0BE3}</x14:id>
        </ext>
      </extLst>
    </cfRule>
  </conditionalFormatting>
  <conditionalFormatting sqref="G211:G212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{69E4964B-9376-4CA6-A4A1-4FE943863A10}</x14:id>
        </ext>
      </extLst>
    </cfRule>
  </conditionalFormatting>
  <conditionalFormatting sqref="G223:G224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{EB6F20E2-07D6-4955-9793-1091D40C2BF2}</x14:id>
        </ext>
      </extLst>
    </cfRule>
  </conditionalFormatting>
  <pageMargins left="0.7" right="0.7" top="0.75" bottom="0.75" header="0.3" footer="0.3"/>
  <pageSetup paperSize="9" orientation="landscape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92B07E1-1F6D-4F76-A718-E57E2ACB4C68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B2:B23</xm:sqref>
        </x14:conditionalFormatting>
        <x14:conditionalFormatting xmlns:xm="http://schemas.microsoft.com/office/excel/2006/main">
          <x14:cfRule type="dataBar" id="{D4DA7778-F115-46D9-999B-434B7EEE599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G28:G37</xm:sqref>
        </x14:conditionalFormatting>
        <x14:conditionalFormatting xmlns:xm="http://schemas.microsoft.com/office/excel/2006/main">
          <x14:cfRule type="dataBar" id="{8DFA0B08-A446-4A0B-9D04-CAF41396FBC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G48:G55</xm:sqref>
        </x14:conditionalFormatting>
        <x14:conditionalFormatting xmlns:xm="http://schemas.microsoft.com/office/excel/2006/main">
          <x14:cfRule type="dataBar" id="{199D3665-D119-4B36-83B8-FFC2DFE584D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G65:G69</xm:sqref>
        </x14:conditionalFormatting>
        <x14:conditionalFormatting xmlns:xm="http://schemas.microsoft.com/office/excel/2006/main">
          <x14:cfRule type="dataBar" id="{D17FB237-6FE8-4CCF-A00F-75BCDB68FCDC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G106:G109</xm:sqref>
        </x14:conditionalFormatting>
        <x14:conditionalFormatting xmlns:xm="http://schemas.microsoft.com/office/excel/2006/main">
          <x14:cfRule type="dataBar" id="{18739700-2CEF-4373-A4AF-BD7F71AB360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G78:G82</xm:sqref>
        </x14:conditionalFormatting>
        <x14:conditionalFormatting xmlns:xm="http://schemas.microsoft.com/office/excel/2006/main">
          <x14:cfRule type="dataBar" id="{21B9B532-7A3D-415C-B8F2-E60C7198B4C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G92:G95</xm:sqref>
        </x14:conditionalFormatting>
        <x14:conditionalFormatting xmlns:xm="http://schemas.microsoft.com/office/excel/2006/main">
          <x14:cfRule type="dataBar" id="{E36A7CA1-0623-44A6-B30D-D33D177288AC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G118:G121</xm:sqref>
        </x14:conditionalFormatting>
        <x14:conditionalFormatting xmlns:xm="http://schemas.microsoft.com/office/excel/2006/main">
          <x14:cfRule type="dataBar" id="{4FF5FAFA-9F1E-462F-8EA5-4E155B2CA376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G135:G137</xm:sqref>
        </x14:conditionalFormatting>
        <x14:conditionalFormatting xmlns:xm="http://schemas.microsoft.com/office/excel/2006/main">
          <x14:cfRule type="dataBar" id="{CC15565E-96C9-4E06-914A-480C5DCA1D8C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G146:G148</xm:sqref>
        </x14:conditionalFormatting>
        <x14:conditionalFormatting xmlns:xm="http://schemas.microsoft.com/office/excel/2006/main">
          <x14:cfRule type="dataBar" id="{85C31257-9804-44FC-907A-3A429A3F219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G156:G158</xm:sqref>
        </x14:conditionalFormatting>
        <x14:conditionalFormatting xmlns:xm="http://schemas.microsoft.com/office/excel/2006/main">
          <x14:cfRule type="dataBar" id="{345238E3-65C5-4BE4-9109-0E31A915EC9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G166:G168</xm:sqref>
        </x14:conditionalFormatting>
        <x14:conditionalFormatting xmlns:xm="http://schemas.microsoft.com/office/excel/2006/main">
          <x14:cfRule type="dataBar" id="{14BF1FAD-9898-415B-8925-4343F2351F1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G179:G181</xm:sqref>
        </x14:conditionalFormatting>
        <x14:conditionalFormatting xmlns:xm="http://schemas.microsoft.com/office/excel/2006/main">
          <x14:cfRule type="dataBar" id="{54D8FF1E-6A01-4010-90BB-5C0B054D31FD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G192:G193</xm:sqref>
        </x14:conditionalFormatting>
        <x14:conditionalFormatting xmlns:xm="http://schemas.microsoft.com/office/excel/2006/main">
          <x14:cfRule type="dataBar" id="{72E813C9-46D0-4AE1-AC03-E48ECE8F624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G198:G199</xm:sqref>
        </x14:conditionalFormatting>
        <x14:conditionalFormatting xmlns:xm="http://schemas.microsoft.com/office/excel/2006/main">
          <x14:cfRule type="dataBar" id="{BFDF7DE1-33E9-4219-BB11-C12580FA0BE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G204:G205</xm:sqref>
        </x14:conditionalFormatting>
        <x14:conditionalFormatting xmlns:xm="http://schemas.microsoft.com/office/excel/2006/main">
          <x14:cfRule type="dataBar" id="{69E4964B-9376-4CA6-A4A1-4FE943863A1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G211:G212</xm:sqref>
        </x14:conditionalFormatting>
        <x14:conditionalFormatting xmlns:xm="http://schemas.microsoft.com/office/excel/2006/main">
          <x14:cfRule type="dataBar" id="{EB6F20E2-07D6-4955-9793-1091D40C2BF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G223:G224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289B9-A568-49BA-9801-CEABCF9207F3}">
  <sheetPr>
    <tabColor theme="9"/>
  </sheetPr>
  <dimension ref="B2:AH51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AE4" sqref="AE4"/>
    </sheetView>
  </sheetViews>
  <sheetFormatPr defaultColWidth="8.7265625" defaultRowHeight="10.5" x14ac:dyDescent="0.25"/>
  <cols>
    <col min="1" max="2" width="8.7265625" style="5"/>
    <col min="3" max="3" width="11.81640625" style="5" customWidth="1"/>
    <col min="4" max="4" width="11.453125" style="5" bestFit="1" customWidth="1"/>
    <col min="5" max="6" width="20.1796875" style="5" bestFit="1" customWidth="1"/>
    <col min="7" max="8" width="11.81640625" style="8" customWidth="1"/>
    <col min="9" max="9" width="8.7265625" style="5"/>
    <col min="10" max="10" width="9.54296875" style="5" bestFit="1" customWidth="1"/>
    <col min="11" max="12" width="8.54296875" style="5" bestFit="1" customWidth="1"/>
    <col min="13" max="13" width="8.7265625" style="5"/>
    <col min="14" max="14" width="6.81640625" style="5" customWidth="1"/>
    <col min="15" max="15" width="7.54296875" style="5" customWidth="1"/>
    <col min="16" max="17" width="7.453125" style="5" customWidth="1"/>
    <col min="18" max="18" width="7.81640625" style="5" customWidth="1"/>
    <col min="19" max="19" width="11" style="5" customWidth="1"/>
    <col min="20" max="20" width="9.54296875" style="5" customWidth="1"/>
    <col min="21" max="21" width="9.81640625" style="5" customWidth="1"/>
    <col min="22" max="22" width="10.453125" style="5" customWidth="1"/>
    <col min="23" max="23" width="8" style="5" customWidth="1"/>
    <col min="24" max="24" width="8.81640625" style="5" customWidth="1"/>
    <col min="25" max="25" width="8.453125" style="5" customWidth="1"/>
    <col min="26" max="26" width="8.81640625" style="5" customWidth="1"/>
    <col min="27" max="27" width="10.1796875" style="5" customWidth="1"/>
    <col min="28" max="28" width="6.7265625" style="5" customWidth="1"/>
    <col min="29" max="29" width="12.81640625" style="5" customWidth="1"/>
    <col min="30" max="30" width="7.453125" style="5" customWidth="1"/>
    <col min="31" max="31" width="8.1796875" style="5" customWidth="1"/>
    <col min="32" max="16384" width="8.7265625" style="5"/>
  </cols>
  <sheetData>
    <row r="2" spans="2:33" x14ac:dyDescent="0.25">
      <c r="U2" s="11">
        <v>11</v>
      </c>
      <c r="V2" s="8">
        <f ca="1">WORKDAY(TODAY(),-U2)</f>
        <v>44000</v>
      </c>
      <c r="Z2" s="11">
        <v>25</v>
      </c>
      <c r="AA2" s="8">
        <f ca="1">WORKDAY(TODAY(),-Z2)</f>
        <v>43980</v>
      </c>
    </row>
    <row r="3" spans="2:33" ht="33" x14ac:dyDescent="0.3">
      <c r="B3" s="13" t="s">
        <v>2</v>
      </c>
      <c r="C3" s="14" t="s">
        <v>9</v>
      </c>
      <c r="D3" s="14" t="s">
        <v>10</v>
      </c>
      <c r="E3" s="14" t="s">
        <v>11</v>
      </c>
      <c r="F3" s="14" t="s">
        <v>12</v>
      </c>
      <c r="G3" s="15" t="s">
        <v>13</v>
      </c>
      <c r="H3" s="15" t="s">
        <v>14</v>
      </c>
      <c r="I3" s="14" t="s">
        <v>15</v>
      </c>
      <c r="J3" s="14" t="s">
        <v>16</v>
      </c>
      <c r="K3" s="14" t="s">
        <v>3</v>
      </c>
      <c r="L3" s="14" t="s">
        <v>4</v>
      </c>
      <c r="M3" s="14" t="s">
        <v>17</v>
      </c>
      <c r="N3" s="14" t="s">
        <v>5</v>
      </c>
      <c r="O3" s="14" t="s">
        <v>18</v>
      </c>
      <c r="P3" s="14" t="s">
        <v>19</v>
      </c>
      <c r="Q3" s="14" t="s">
        <v>20</v>
      </c>
      <c r="R3" s="14" t="s">
        <v>21</v>
      </c>
      <c r="S3" s="14" t="s">
        <v>22</v>
      </c>
      <c r="T3" s="14" t="s">
        <v>23</v>
      </c>
      <c r="U3" s="14" t="s">
        <v>24</v>
      </c>
      <c r="V3" s="14" t="s">
        <v>25</v>
      </c>
      <c r="W3" s="14" t="s">
        <v>26</v>
      </c>
      <c r="X3" s="14" t="s">
        <v>27</v>
      </c>
      <c r="Y3" s="14" t="s">
        <v>7</v>
      </c>
      <c r="Z3" s="14" t="s">
        <v>28</v>
      </c>
      <c r="AA3" s="14" t="s">
        <v>29</v>
      </c>
      <c r="AB3" s="14" t="s">
        <v>30</v>
      </c>
      <c r="AC3" s="14" t="s">
        <v>31</v>
      </c>
      <c r="AD3" s="16" t="s">
        <v>8</v>
      </c>
      <c r="AE3" s="26" t="s">
        <v>412</v>
      </c>
      <c r="AF3" s="26" t="s">
        <v>413</v>
      </c>
      <c r="AG3" s="26" t="s">
        <v>414</v>
      </c>
    </row>
    <row r="4" spans="2:33" x14ac:dyDescent="0.25">
      <c r="B4" s="11" t="s">
        <v>32</v>
      </c>
      <c r="C4" s="12" t="s">
        <v>33</v>
      </c>
      <c r="D4" s="12" t="s">
        <v>34</v>
      </c>
      <c r="E4" s="5" t="str" cm="1">
        <f t="array" ref="E4">_xll.BDP(curve[[#This Row],[short code]],"security_name")</f>
        <v>SOLBBB 5.425 PERP</v>
      </c>
      <c r="F4" s="5" t="str" cm="1">
        <f t="array" ref="F4">_xll.BDP(curve[[#This Row],[long code]],"security_name")</f>
        <v>SOLBBB 5.869 PERP</v>
      </c>
      <c r="G4" s="8" cm="1">
        <f t="array" ref="G4">_xll.BDP(curve[[#This Row],[short code]],"nxt_call_dt")*1</f>
        <v>45242</v>
      </c>
      <c r="H4" s="8" cm="1">
        <f t="array" ref="H4">_xll.BDP(curve[[#This Row],[long code]],"nxt_call_dt")*1</f>
        <v>45446</v>
      </c>
      <c r="I4" s="17">
        <f>(curve[[#This Row],[long date]]-curve[[#This Row],[short date]])/365</f>
        <v>0.55890410958904113</v>
      </c>
      <c r="J4" s="12" t="s">
        <v>35</v>
      </c>
      <c r="K4" s="18" cm="1">
        <f t="array" ref="K4">_xll.BDP(curve[[#This Row],[short code]],curve[[#This Row],[spread measure]])</f>
        <v>300.37002358639518</v>
      </c>
      <c r="L4" s="18" cm="1">
        <f t="array" ref="L4">_xll.BDP(curve[[#This Row],[long code]],curve[[#This Row],[spread measure]])</f>
        <v>341.90659672868861</v>
      </c>
      <c r="M4" s="18">
        <f>curve[[#This Row],[long spread]]-curve[[#This Row],[short spread]]</f>
        <v>41.536573142293435</v>
      </c>
      <c r="N4" s="18">
        <f>curve[[#This Row],[curve]]/curve[[#This Row],[years]]</f>
        <v>74.317888220279912</v>
      </c>
      <c r="O4" s="5" t="str" cm="1">
        <f t="array" ref="O4">_xll.BDP(curve[[#This Row],[short code]],"bb_composite")</f>
        <v>BB+</v>
      </c>
      <c r="P4" s="5" t="str" cm="1">
        <f t="array" ref="P4">_xll.BDP(curve[[#This Row],[long code]],"bb_composite")</f>
        <v>BB+</v>
      </c>
      <c r="Q4" s="5" t="str" cm="1">
        <f t="array" ref="Q4">_xll.BDP(curve[[#This Row],[short code]],"crncy")</f>
        <v>EUR</v>
      </c>
      <c r="R4" s="5" t="str" cm="1">
        <f t="array" ref="R4">_xll.BDP(curve[[#This Row],[long code]],"crncy")</f>
        <v>EUR</v>
      </c>
      <c r="S4" s="5" t="str">
        <f>INDEX(tkrBBG!AA:AA,MATCH(curve[[#This Row],[ticker]],tkrBBG!Z:Z,0))</f>
        <v>Low Beta</v>
      </c>
      <c r="T4" s="12" t="s">
        <v>36</v>
      </c>
      <c r="U4" s="18" cm="1">
        <f t="array" aca="1" ref="U4" ca="1">_xll.BDH(curve[[#This Row],[short code]],curve[[#This Row],[hist spread measure]],$V$2)</f>
        <v>294.60700000000003</v>
      </c>
      <c r="V4" s="18" cm="1">
        <f t="array" aca="1" ref="V4" ca="1">_xll.BDH(curve[[#This Row],[long code]],curve[[#This Row],[hist spread measure]],$V$2)</f>
        <v>349.65300000000002</v>
      </c>
      <c r="W4" s="18">
        <f ca="1">IFERROR(curve[[#This Row],[long Spread (14d)]]-curve[[#This Row],[short Spread (14d)]],"-")</f>
        <v>55.045999999999992</v>
      </c>
      <c r="X4" s="18">
        <f ca="1">IFERROR(curve[[#This Row],[curve (14d)]]/curve[[#This Row],[years]],"-")</f>
        <v>98.489166666666648</v>
      </c>
      <c r="Y4" s="18">
        <f ca="1">IFERROR(curve[[#This Row],[curve per year]]-curve[[#This Row],[curve per year (14d)]],"-")</f>
        <v>-24.171278446386737</v>
      </c>
      <c r="Z4" s="18" cm="1">
        <f t="array" aca="1" ref="Z4" ca="1">_xll.BDH(curve[[#This Row],[short code]],curve[[#This Row],[hist spread measure]],$AA$2)</f>
        <v>373.57799999999997</v>
      </c>
      <c r="AA4" s="18" cm="1">
        <f t="array" aca="1" ref="AA4" ca="1">_xll.BDH(curve[[#This Row],[long code]],curve[[#This Row],[hist spread measure]],$AA$2)</f>
        <v>402.637</v>
      </c>
      <c r="AB4" s="18">
        <f ca="1">IFERROR(curve[[#This Row],[long spread (30d)]]-curve[[#This Row],[short spread (30d)]],"-")</f>
        <v>29.059000000000026</v>
      </c>
      <c r="AC4" s="18">
        <f ca="1">IFERROR(curve[[#This Row],[curve (30d)]]/curve[[#This Row],[years]],"-")</f>
        <v>51.992818627451022</v>
      </c>
      <c r="AD4" s="18">
        <f ca="1">IFERROR(curve[[#This Row],[curve per year]]-curve[[#This Row],[curve per year (30d)]],"-")</f>
        <v>22.325069592828889</v>
      </c>
      <c r="AE4" s="18" cm="1">
        <f t="array" ref="AE4">_xll.BDP(curve[[#This Row],[short code]],"interval_avg","calc_interval=30d","market_data_override=sp210")</f>
        <v>317.72503448275864</v>
      </c>
      <c r="AF4" s="18" cm="1">
        <f t="array" ref="AF4">_xll.BDP(curve[[#This Row],[short code]],"interval_avg","calc_interval=90d","market_data_override=sp210")</f>
        <v>359.95256976744184</v>
      </c>
      <c r="AG4" s="18" cm="1">
        <f t="array" ref="AG4">_xll.BDP(curve[[#This Row],[short code]],"interval_std_dev","calc_interval=30d","market_data_override=sp210")</f>
        <v>43.437911969255239</v>
      </c>
    </row>
    <row r="5" spans="2:33" x14ac:dyDescent="0.25">
      <c r="B5" s="11" t="s">
        <v>37</v>
      </c>
      <c r="C5" s="12" t="s">
        <v>38</v>
      </c>
      <c r="D5" s="12" t="s">
        <v>39</v>
      </c>
      <c r="E5" s="5" t="str" cm="1">
        <f t="array" ref="E5">_xll.BDP(curve[[#This Row],[short code]],"security_name")</f>
        <v>SESGFP 4 5/8 PERP</v>
      </c>
      <c r="F5" s="5" t="str" cm="1">
        <f t="array" ref="F5">_xll.BDP(curve[[#This Row],[long code]],"security_name")</f>
        <v>SESGFP 5 5/8 PERP</v>
      </c>
      <c r="G5" s="8" cm="1">
        <f t="array" ref="G5">_xll.BDP(curve[[#This Row],[short code]],"nxt_call_dt")*1</f>
        <v>44563</v>
      </c>
      <c r="H5" s="8" cm="1">
        <f t="array" ref="H5">_xll.BDP(curve[[#This Row],[long code]],"nxt_call_dt")*1</f>
        <v>45320</v>
      </c>
      <c r="I5" s="17">
        <f>(curve[[#This Row],[long date]]-curve[[#This Row],[short date]])/365</f>
        <v>2.0739726027397261</v>
      </c>
      <c r="J5" s="12" t="s">
        <v>35</v>
      </c>
      <c r="K5" s="18" cm="1">
        <f t="array" ref="K5">_xll.BDP(curve[[#This Row],[short code]],curve[[#This Row],[spread measure]])</f>
        <v>354.2453777629097</v>
      </c>
      <c r="L5" s="18" cm="1">
        <f t="array" ref="L5">_xll.BDP(curve[[#This Row],[long code]],curve[[#This Row],[spread measure]])</f>
        <v>463.41367448755318</v>
      </c>
      <c r="M5" s="18">
        <f>curve[[#This Row],[long spread]]-curve[[#This Row],[short spread]]</f>
        <v>109.16829672464348</v>
      </c>
      <c r="N5" s="18">
        <f>curve[[#This Row],[curve]]/curve[[#This Row],[years]]</f>
        <v>52.637289702106834</v>
      </c>
      <c r="O5" s="5" t="str" cm="1">
        <f t="array" ref="O5">_xll.BDP(curve[[#This Row],[short code]],"bb_composite")</f>
        <v>BB</v>
      </c>
      <c r="P5" s="5" t="str" cm="1">
        <f t="array" ref="P5">_xll.BDP(curve[[#This Row],[long code]],"bb_composite")</f>
        <v>BB</v>
      </c>
      <c r="Q5" s="5" t="str" cm="1">
        <f t="array" ref="Q5">_xll.BDP(curve[[#This Row],[short code]],"crncy")</f>
        <v>EUR</v>
      </c>
      <c r="R5" s="5" t="str" cm="1">
        <f t="array" ref="R5">_xll.BDP(curve[[#This Row],[long code]],"crncy")</f>
        <v>EUR</v>
      </c>
      <c r="S5" s="5" t="str">
        <f>INDEX(tkrBBG!AA:AA,MATCH(curve[[#This Row],[ticker]],tkrBBG!Z:Z,0))</f>
        <v>TMT/ AUTO</v>
      </c>
      <c r="T5" s="12" t="s">
        <v>36</v>
      </c>
      <c r="U5" s="18" cm="1">
        <f t="array" aca="1" ref="U5" ca="1">_xll.BDH(curve[[#This Row],[short code]],curve[[#This Row],[hist spread measure]],$V$2)</f>
        <v>391.93599999999998</v>
      </c>
      <c r="V5" s="18" cm="1">
        <f t="array" aca="1" ref="V5" ca="1">_xll.BDH(curve[[#This Row],[long code]],curve[[#This Row],[hist spread measure]],$V$2)</f>
        <v>510.31099999999998</v>
      </c>
      <c r="W5" s="18">
        <f ca="1">IFERROR(curve[[#This Row],[long Spread (14d)]]-curve[[#This Row],[short Spread (14d)]],"-")</f>
        <v>118.375</v>
      </c>
      <c r="X5" s="18">
        <f ca="1">IFERROR(curve[[#This Row],[curve (14d)]]/curve[[#This Row],[years]],"-")</f>
        <v>57.07645310435931</v>
      </c>
      <c r="Y5" s="18">
        <f ca="1">IFERROR(curve[[#This Row],[curve per year]]-curve[[#This Row],[curve per year (14d)]],"-")</f>
        <v>-4.4391634022524755</v>
      </c>
      <c r="Z5" s="18" cm="1">
        <f t="array" aca="1" ref="Z5" ca="1">_xll.BDH(curve[[#This Row],[short code]],curve[[#This Row],[hist spread measure]],$AA$2)</f>
        <v>452.846</v>
      </c>
      <c r="AA5" s="18" cm="1">
        <f t="array" aca="1" ref="AA5" ca="1">_xll.BDH(curve[[#This Row],[long code]],curve[[#This Row],[hist spread measure]],$AA$2)</f>
        <v>565.90899999999999</v>
      </c>
      <c r="AB5" s="18">
        <f ca="1">IFERROR(curve[[#This Row],[long spread (30d)]]-curve[[#This Row],[short spread (30d)]],"-")</f>
        <v>113.06299999999999</v>
      </c>
      <c r="AC5" s="18">
        <f ca="1">IFERROR(curve[[#This Row],[curve (30d)]]/curve[[#This Row],[years]],"-")</f>
        <v>54.515184940554818</v>
      </c>
      <c r="AD5" s="18">
        <f ca="1">IFERROR(curve[[#This Row],[curve per year]]-curve[[#This Row],[curve per year (30d)]],"-")</f>
        <v>-1.8778952384479837</v>
      </c>
      <c r="AE5" s="18" cm="1">
        <f t="array" ref="AE5">_xll.BDP(curve[[#This Row],[short code]],"interval_avg","calc_interval=30d","market_data_override=sp210")</f>
        <v>398.43099701334637</v>
      </c>
      <c r="AF5" s="18" cm="1">
        <f t="array" ref="AF5">_xll.BDP(curve[[#This Row],[short code]],"interval_avg","calc_interval=90d","market_data_override=sp210")</f>
        <v>618.41333230345288</v>
      </c>
      <c r="AG5" s="18" cm="1">
        <f t="array" ref="AG5">_xll.BDP(curve[[#This Row],[short code]],"interval_std_dev","calc_interval=30d","market_data_override=sp210")</f>
        <v>54.826983015190009</v>
      </c>
    </row>
    <row r="6" spans="2:33" x14ac:dyDescent="0.25">
      <c r="B6" s="11" t="s">
        <v>40</v>
      </c>
      <c r="C6" s="12" t="s">
        <v>41</v>
      </c>
      <c r="D6" s="12" t="s">
        <v>42</v>
      </c>
      <c r="E6" s="5" t="str" cm="1">
        <f t="array" ref="E6">_xll.BDP(curve[[#This Row],[short code]],"security_name")</f>
        <v>GYCGR 3 3/4 PERP</v>
      </c>
      <c r="F6" s="5" t="str" cm="1">
        <f t="array" ref="F6">_xll.BDP(curve[[#This Row],[long code]],"security_name")</f>
        <v>GYCGR 2 1/2 PERP</v>
      </c>
      <c r="G6" s="8" cm="1">
        <f t="array" ref="G6">_xll.BDP(curve[[#This Row],[short code]],"nxt_call_dt")*1</f>
        <v>44610</v>
      </c>
      <c r="H6" s="8" cm="1">
        <f t="array" ref="H6">_xll.BDP(curve[[#This Row],[long code]],"nxt_call_dt")*1</f>
        <v>45131</v>
      </c>
      <c r="I6" s="17">
        <f>(curve[[#This Row],[long date]]-curve[[#This Row],[short date]])/365</f>
        <v>1.4273972602739726</v>
      </c>
      <c r="J6" s="12" t="s">
        <v>35</v>
      </c>
      <c r="K6" s="18" cm="1">
        <f t="array" ref="K6">_xll.BDP(curve[[#This Row],[short code]],curve[[#This Row],[spread measure]])</f>
        <v>262.36630470958085</v>
      </c>
      <c r="L6" s="18" cm="1">
        <f t="array" ref="L6">_xll.BDP(curve[[#This Row],[long code]],curve[[#This Row],[spread measure]])</f>
        <v>324.69586972020187</v>
      </c>
      <c r="M6" s="18">
        <f>curve[[#This Row],[long spread]]-curve[[#This Row],[short spread]]</f>
        <v>62.329565010621025</v>
      </c>
      <c r="N6" s="18">
        <f>curve[[#This Row],[curve]]/curve[[#This Row],[years]]</f>
        <v>43.666585851970581</v>
      </c>
      <c r="O6" s="5" t="str" cm="1">
        <f t="array" ref="O6">_xll.BDP(curve[[#This Row],[short code]],"bb_composite")</f>
        <v>BBB-</v>
      </c>
      <c r="P6" s="5" t="str" cm="1">
        <f t="array" ref="P6">_xll.BDP(curve[[#This Row],[long code]],"bb_composite")</f>
        <v>BBB-</v>
      </c>
      <c r="Q6" s="5" t="str" cm="1">
        <f t="array" ref="Q6">_xll.BDP(curve[[#This Row],[short code]],"crncy")</f>
        <v>EUR</v>
      </c>
      <c r="R6" s="5" t="str" cm="1">
        <f t="array" ref="R6">_xll.BDP(curve[[#This Row],[long code]],"crncy")</f>
        <v>EUR</v>
      </c>
      <c r="S6" s="5" t="str">
        <f>INDEX(tkrBBG!AA:AA,MATCH(curve[[#This Row],[ticker]],tkrBBG!Z:Z,0))</f>
        <v>REIT</v>
      </c>
      <c r="T6" s="12" t="s">
        <v>36</v>
      </c>
      <c r="U6" s="18" cm="1">
        <f t="array" aca="1" ref="U6" ca="1">_xll.BDH(curve[[#This Row],[short code]],curve[[#This Row],[hist spread measure]],$V$2)</f>
        <v>254.96</v>
      </c>
      <c r="V6" s="18" cm="1">
        <f t="array" aca="1" ref="V6" ca="1">_xll.BDH(curve[[#This Row],[long code]],curve[[#This Row],[hist spread measure]],$V$2)</f>
        <v>320.03300000000002</v>
      </c>
      <c r="W6" s="18">
        <f ca="1">IFERROR(curve[[#This Row],[long Spread (14d)]]-curve[[#This Row],[short Spread (14d)]],"-")</f>
        <v>65.073000000000008</v>
      </c>
      <c r="X6" s="18">
        <f ca="1">IFERROR(curve[[#This Row],[curve (14d)]]/curve[[#This Row],[years]],"-")</f>
        <v>45.588570057581578</v>
      </c>
      <c r="Y6" s="18">
        <f ca="1">IFERROR(curve[[#This Row],[curve per year]]-curve[[#This Row],[curve per year (14d)]],"-")</f>
        <v>-1.9219842056109968</v>
      </c>
      <c r="Z6" s="18" cm="1">
        <f t="array" aca="1" ref="Z6" ca="1">_xll.BDH(curve[[#This Row],[short code]],curve[[#This Row],[hist spread measure]],$AA$2)</f>
        <v>280.63</v>
      </c>
      <c r="AA6" s="18" cm="1">
        <f t="array" aca="1" ref="AA6" ca="1">_xll.BDH(curve[[#This Row],[long code]],curve[[#This Row],[hist spread measure]],$AA$2)</f>
        <v>354.41500000000002</v>
      </c>
      <c r="AB6" s="18">
        <f ca="1">IFERROR(curve[[#This Row],[long spread (30d)]]-curve[[#This Row],[short spread (30d)]],"-")</f>
        <v>73.785000000000025</v>
      </c>
      <c r="AC6" s="18">
        <f ca="1">IFERROR(curve[[#This Row],[curve (30d)]]/curve[[#This Row],[years]],"-")</f>
        <v>51.691986564299441</v>
      </c>
      <c r="AD6" s="18">
        <f ca="1">IFERROR(curve[[#This Row],[curve per year]]-curve[[#This Row],[curve per year (30d)]],"-")</f>
        <v>-8.0254007123288602</v>
      </c>
      <c r="AE6" s="18" cm="1">
        <f t="array" ref="AE6">_xll.BDP(curve[[#This Row],[short code]],"interval_avg","calc_interval=30d","market_data_override=sp210")</f>
        <v>255.15506070149738</v>
      </c>
      <c r="AF6" s="18" cm="1">
        <f t="array" ref="AF6">_xll.BDP(curve[[#This Row],[short code]],"interval_avg","calc_interval=90d","market_data_override=sp210")</f>
        <v>382.59623932235536</v>
      </c>
      <c r="AG6" s="18" cm="1">
        <f t="array" ref="AG6">_xll.BDP(curve[[#This Row],[short code]],"interval_std_dev","calc_interval=30d","market_data_override=sp210")</f>
        <v>30.602290252714678</v>
      </c>
    </row>
    <row r="7" spans="2:33" x14ac:dyDescent="0.25">
      <c r="B7" s="11" t="s">
        <v>43</v>
      </c>
      <c r="C7" s="12" t="s">
        <v>44</v>
      </c>
      <c r="D7" s="12" t="s">
        <v>45</v>
      </c>
      <c r="E7" s="5" t="str" cm="1">
        <f t="array" ref="E7">_xll.BDP(curve[[#This Row],[short code]],"security_name")</f>
        <v>ACFP 4 3/8 PERP</v>
      </c>
      <c r="F7" s="5" t="str" cm="1">
        <f t="array" ref="F7">_xll.BDP(curve[[#This Row],[long code]],"security_name")</f>
        <v>ACFP 2 5/8 PERP</v>
      </c>
      <c r="G7" s="8" cm="1">
        <f t="array" ref="G7">_xll.BDP(curve[[#This Row],[short code]],"nxt_call_dt")*1</f>
        <v>45321</v>
      </c>
      <c r="H7" s="8" cm="1">
        <f t="array" ref="H7">_xll.BDP(curve[[#This Row],[long code]],"nxt_call_dt")*1</f>
        <v>45687</v>
      </c>
      <c r="I7" s="17">
        <f>(curve[[#This Row],[long date]]-curve[[#This Row],[short date]])/365</f>
        <v>1.0027397260273974</v>
      </c>
      <c r="J7" s="12" t="s">
        <v>35</v>
      </c>
      <c r="K7" s="18" cm="1">
        <f t="array" ref="K7">_xll.BDP(curve[[#This Row],[short code]],curve[[#This Row],[spread measure]])</f>
        <v>694.07454242438882</v>
      </c>
      <c r="L7" s="18" cm="1">
        <f t="array" ref="L7">_xll.BDP(curve[[#This Row],[long code]],curve[[#This Row],[spread measure]])</f>
        <v>740.15026195502458</v>
      </c>
      <c r="M7" s="18">
        <f>curve[[#This Row],[long spread]]-curve[[#This Row],[short spread]]</f>
        <v>46.075719530635752</v>
      </c>
      <c r="N7" s="18">
        <f>curve[[#This Row],[curve]]/curve[[#This Row],[years]]</f>
        <v>45.94982958656297</v>
      </c>
      <c r="O7" s="5" t="str" cm="1">
        <f t="array" ref="O7">_xll.BDP(curve[[#This Row],[short code]],"bb_composite")</f>
        <v>BB</v>
      </c>
      <c r="P7" s="5" t="str" cm="1">
        <f t="array" ref="P7">_xll.BDP(curve[[#This Row],[long code]],"bb_composite")</f>
        <v>BB</v>
      </c>
      <c r="Q7" s="5" t="str" cm="1">
        <f t="array" ref="Q7">_xll.BDP(curve[[#This Row],[short code]],"crncy")</f>
        <v>EUR</v>
      </c>
      <c r="R7" s="5" t="str" cm="1">
        <f t="array" ref="R7">_xll.BDP(curve[[#This Row],[long code]],"crncy")</f>
        <v>EUR</v>
      </c>
      <c r="S7" s="5" t="str">
        <f>INDEX(tkrBBG!AA:AA,MATCH(curve[[#This Row],[ticker]],tkrBBG!Z:Z,0))</f>
        <v>REIT</v>
      </c>
      <c r="T7" s="12" t="s">
        <v>36</v>
      </c>
      <c r="U7" s="18" cm="1">
        <f t="array" aca="1" ref="U7" ca="1">_xll.BDH(curve[[#This Row],[short code]],curve[[#This Row],[hist spread measure]],$V$2)</f>
        <v>730.38</v>
      </c>
      <c r="V7" s="18" cm="1">
        <f t="array" aca="1" ref="V7" ca="1">_xll.BDH(curve[[#This Row],[long code]],curve[[#This Row],[hist spread measure]],$V$2)</f>
        <v>734.08299999999997</v>
      </c>
      <c r="W7" s="18">
        <f ca="1">IFERROR(curve[[#This Row],[long Spread (14d)]]-curve[[#This Row],[short Spread (14d)]],"-")</f>
        <v>3.7029999999999745</v>
      </c>
      <c r="X7" s="18">
        <f ca="1">IFERROR(curve[[#This Row],[curve (14d)]]/curve[[#This Row],[years]],"-")</f>
        <v>3.6928825136611763</v>
      </c>
      <c r="Y7" s="18">
        <f ca="1">IFERROR(curve[[#This Row],[curve per year]]-curve[[#This Row],[curve per year (14d)]],"-")</f>
        <v>42.256947072901795</v>
      </c>
      <c r="Z7" s="18" cm="1">
        <f t="array" aca="1" ref="Z7" ca="1">_xll.BDH(curve[[#This Row],[short code]],curve[[#This Row],[hist spread measure]],$AA$2)</f>
        <v>660.14400000000001</v>
      </c>
      <c r="AA7" s="18" cm="1">
        <f t="array" aca="1" ref="AA7" ca="1">_xll.BDH(curve[[#This Row],[long code]],curve[[#This Row],[hist spread measure]],$AA$2)</f>
        <v>675.84699999999998</v>
      </c>
      <c r="AB7" s="18">
        <f ca="1">IFERROR(curve[[#This Row],[long spread (30d)]]-curve[[#This Row],[short spread (30d)]],"-")</f>
        <v>15.702999999999975</v>
      </c>
      <c r="AC7" s="18">
        <f ca="1">IFERROR(curve[[#This Row],[curve (30d)]]/curve[[#This Row],[years]],"-")</f>
        <v>15.660095628415274</v>
      </c>
      <c r="AD7" s="18">
        <f ca="1">IFERROR(curve[[#This Row],[curve per year]]-curve[[#This Row],[curve per year (30d)]],"-")</f>
        <v>30.289733958147696</v>
      </c>
      <c r="AE7" s="18" cm="1">
        <f t="array" ref="AE7">_xll.BDP(curve[[#This Row],[short code]],"interval_avg","calc_interval=30d","market_data_override=sp210")</f>
        <v>706.75265517241394</v>
      </c>
      <c r="AF7" s="18" cm="1">
        <f t="array" ref="AF7">_xll.BDP(curve[[#This Row],[short code]],"interval_avg","calc_interval=90d","market_data_override=sp210")</f>
        <v>820.88317441860454</v>
      </c>
      <c r="AG7" s="18" cm="1">
        <f t="array" ref="AG7">_xll.BDP(curve[[#This Row],[short code]],"interval_std_dev","calc_interval=30d","market_data_override=sp210")</f>
        <v>61.740361892291595</v>
      </c>
    </row>
    <row r="8" spans="2:33" x14ac:dyDescent="0.25">
      <c r="B8" s="11" t="s">
        <v>46</v>
      </c>
      <c r="C8" s="12" t="s">
        <v>47</v>
      </c>
      <c r="D8" s="12" t="s">
        <v>48</v>
      </c>
      <c r="E8" s="5" t="str" cm="1">
        <f t="array" ref="E8">_xll.BDP(curve[[#This Row],[short code]],"security_name")</f>
        <v>REPSM 4 1/2 03/25/75</v>
      </c>
      <c r="F8" s="5" t="str" cm="1">
        <f t="array" ref="F8">_xll.BDP(curve[[#This Row],[long code]],"security_name")</f>
        <v>REPSM 3 3/4 PERP</v>
      </c>
      <c r="G8" s="8" cm="1">
        <f t="array" ref="G8">_xll.BDP(curve[[#This Row],[short code]],"nxt_call_dt")*1</f>
        <v>45741</v>
      </c>
      <c r="H8" s="8" cm="1">
        <f t="array" ref="H8">_xll.BDP(curve[[#This Row],[long code]],"nxt_call_dt")*1</f>
        <v>46092</v>
      </c>
      <c r="I8" s="17">
        <f>(curve[[#This Row],[long date]]-curve[[#This Row],[short date]])/365</f>
        <v>0.9616438356164384</v>
      </c>
      <c r="J8" s="12" t="s">
        <v>35</v>
      </c>
      <c r="K8" s="18" cm="1">
        <f t="array" ref="K8">_xll.BDP(curve[[#This Row],[short code]],curve[[#This Row],[spread measure]])</f>
        <v>371.74464883476645</v>
      </c>
      <c r="L8" s="18" cm="1">
        <f t="array" ref="L8">_xll.BDP(curve[[#This Row],[long code]],curve[[#This Row],[spread measure]])</f>
        <v>389.0336994008839</v>
      </c>
      <c r="M8" s="18">
        <f>curve[[#This Row],[long spread]]-curve[[#This Row],[short spread]]</f>
        <v>17.289050566117453</v>
      </c>
      <c r="N8" s="18">
        <f>curve[[#This Row],[curve]]/curve[[#This Row],[years]]</f>
        <v>17.978642326589373</v>
      </c>
      <c r="O8" s="5" t="str" cm="1">
        <f t="array" ref="O8">_xll.BDP(curve[[#This Row],[short code]],"bb_composite")</f>
        <v>BB+</v>
      </c>
      <c r="P8" s="5" t="str" cm="1">
        <f t="array" ref="P8">_xll.BDP(curve[[#This Row],[long code]],"bb_composite")</f>
        <v>BB+</v>
      </c>
      <c r="Q8" s="5" t="str" cm="1">
        <f t="array" ref="Q8">_xll.BDP(curve[[#This Row],[short code]],"crncy")</f>
        <v>EUR</v>
      </c>
      <c r="R8" s="5" t="str" cm="1">
        <f t="array" ref="R8">_xll.BDP(curve[[#This Row],[long code]],"crncy")</f>
        <v>EUR</v>
      </c>
      <c r="S8" s="5" t="str">
        <f>INDEX(tkrBBG!AA:AA,MATCH(curve[[#This Row],[ticker]],tkrBBG!Z:Z,0))</f>
        <v>Energy</v>
      </c>
      <c r="T8" s="12" t="s">
        <v>36</v>
      </c>
      <c r="U8" s="18" cm="1">
        <f t="array" aca="1" ref="U8" ca="1">_xll.BDH(curve[[#This Row],[short code]],curve[[#This Row],[hist spread measure]],$V$2)</f>
        <v>370.68900000000002</v>
      </c>
      <c r="V8" s="18" cm="1">
        <f t="array" aca="1" ref="V8" ca="1">_xll.BDH(curve[[#This Row],[long code]],curve[[#This Row],[hist spread measure]],$V$2)</f>
        <v>403.428</v>
      </c>
      <c r="W8" s="18">
        <f ca="1">IFERROR(curve[[#This Row],[long Spread (14d)]]-curve[[#This Row],[short Spread (14d)]],"-")</f>
        <v>32.738999999999976</v>
      </c>
      <c r="X8" s="18">
        <f ca="1">IFERROR(curve[[#This Row],[curve (14d)]]/curve[[#This Row],[years]],"-")</f>
        <v>34.044829059829034</v>
      </c>
      <c r="Y8" s="18">
        <f ca="1">IFERROR(curve[[#This Row],[curve per year]]-curve[[#This Row],[curve per year (14d)]],"-")</f>
        <v>-16.066186733239661</v>
      </c>
      <c r="Z8" s="18" cm="1">
        <f t="array" aca="1" ref="Z8" ca="1">_xll.BDH(curve[[#This Row],[short code]],curve[[#This Row],[hist spread measure]],$AA$2)</f>
        <v>373.053</v>
      </c>
      <c r="AA8" s="18" t="str" cm="1">
        <f t="array" aca="1" ref="AA8" ca="1">_xll.BDH(curve[[#This Row],[long code]],curve[[#This Row],[hist spread measure]],$AA$2)</f>
        <v>#N/A N/A</v>
      </c>
      <c r="AB8" s="18" t="str">
        <f ca="1">IFERROR(curve[[#This Row],[long spread (30d)]]-curve[[#This Row],[short spread (30d)]],"-")</f>
        <v>-</v>
      </c>
      <c r="AC8" s="18" t="str">
        <f ca="1">IFERROR(curve[[#This Row],[curve (30d)]]/curve[[#This Row],[years]],"-")</f>
        <v>-</v>
      </c>
      <c r="AD8" s="18" t="str">
        <f ca="1">IFERROR(curve[[#This Row],[curve per year]]-curve[[#This Row],[curve per year (30d)]],"-")</f>
        <v>-</v>
      </c>
      <c r="AE8" s="18" cm="1">
        <f t="array" ref="AE8">_xll.BDP(curve[[#This Row],[short code]],"interval_avg","calc_interval=30d","market_data_override=sp210")</f>
        <v>364.43089655172412</v>
      </c>
      <c r="AF8" s="18" cm="1">
        <f t="array" ref="AF8">_xll.BDP(curve[[#This Row],[short code]],"interval_avg","calc_interval=90d","market_data_override=sp210")</f>
        <v>435.32576744186059</v>
      </c>
      <c r="AG8" s="18" cm="1">
        <f t="array" ref="AG8">_xll.BDP(curve[[#This Row],[short code]],"interval_std_dev","calc_interval=30d","market_data_override=sp210")</f>
        <v>24.652441758728234</v>
      </c>
    </row>
    <row r="9" spans="2:33" x14ac:dyDescent="0.25">
      <c r="B9" s="11" t="s">
        <v>49</v>
      </c>
      <c r="C9" s="12" t="s">
        <v>50</v>
      </c>
      <c r="D9" s="12" t="s">
        <v>51</v>
      </c>
      <c r="E9" s="5" t="str" cm="1">
        <f t="array" ref="E9">_xll.BDP(curve[[#This Row],[short code]],"security_name")</f>
        <v>EDPPL 4.496 04/30/79</v>
      </c>
      <c r="F9" s="5" t="str" cm="1">
        <f t="array" ref="F9">_xll.BDP(curve[[#This Row],[long code]],"security_name")</f>
        <v>EDPPL 1.7 07/20/80</v>
      </c>
      <c r="G9" s="8" cm="1">
        <f t="array" ref="G9">_xll.BDP(curve[[#This Row],[short code]],"nxt_call_dt")*1</f>
        <v>45321</v>
      </c>
      <c r="H9" s="8" cm="1">
        <f t="array" ref="H9">_xll.BDP(curve[[#This Row],[long code]],"nxt_call_dt")*1</f>
        <v>45767</v>
      </c>
      <c r="I9" s="17">
        <f>(curve[[#This Row],[long date]]-curve[[#This Row],[short date]])/365</f>
        <v>1.2219178082191782</v>
      </c>
      <c r="J9" s="12" t="s">
        <v>35</v>
      </c>
      <c r="K9" s="18" cm="1">
        <f t="array" ref="K9">_xll.BDP(curve[[#This Row],[short code]],curve[[#This Row],[spread measure]])</f>
        <v>290.14796052099115</v>
      </c>
      <c r="L9" s="18" cm="1">
        <f t="array" ref="L9">_xll.BDP(curve[[#This Row],[long code]],curve[[#This Row],[spread measure]])</f>
        <v>326.13138560134109</v>
      </c>
      <c r="M9" s="18">
        <f>curve[[#This Row],[long spread]]-curve[[#This Row],[short spread]]</f>
        <v>35.983425080349946</v>
      </c>
      <c r="N9" s="18">
        <f>curve[[#This Row],[curve]]/curve[[#This Row],[years]]</f>
        <v>29.448318731676522</v>
      </c>
      <c r="O9" s="5" t="str" cm="1">
        <f t="array" ref="O9">_xll.BDP(curve[[#This Row],[short code]],"bb_composite")</f>
        <v>BB</v>
      </c>
      <c r="P9" s="5" t="str" cm="1">
        <f t="array" ref="P9">_xll.BDP(curve[[#This Row],[long code]],"bb_composite")</f>
        <v>BB</v>
      </c>
      <c r="Q9" s="5" t="str" cm="1">
        <f t="array" ref="Q9">_xll.BDP(curve[[#This Row],[short code]],"crncy")</f>
        <v>EUR</v>
      </c>
      <c r="R9" s="5" t="str" cm="1">
        <f t="array" ref="R9">_xll.BDP(curve[[#This Row],[long code]],"crncy")</f>
        <v>EUR</v>
      </c>
      <c r="S9" s="5" t="str">
        <f>INDEX(tkrBBG!AA:AA,MATCH(curve[[#This Row],[ticker]],tkrBBG!Z:Z,0))</f>
        <v>UTILS</v>
      </c>
      <c r="T9" s="12" t="s">
        <v>36</v>
      </c>
      <c r="U9" s="18" cm="1">
        <f t="array" aca="1" ref="U9" ca="1">_xll.BDH(curve[[#This Row],[short code]],curve[[#This Row],[hist spread measure]],$V$2)</f>
        <v>264.64499999999998</v>
      </c>
      <c r="V9" s="18" cm="1">
        <f t="array" aca="1" ref="V9" ca="1">_xll.BDH(curve[[#This Row],[long code]],curve[[#This Row],[hist spread measure]],$V$2)</f>
        <v>202.875</v>
      </c>
      <c r="W9" s="18">
        <f ca="1">IFERROR(curve[[#This Row],[long Spread (14d)]]-curve[[#This Row],[short Spread (14d)]],"-")</f>
        <v>-61.769999999999982</v>
      </c>
      <c r="X9" s="18">
        <f ca="1">IFERROR(curve[[#This Row],[curve (14d)]]/curve[[#This Row],[years]],"-")</f>
        <v>-50.551681614349761</v>
      </c>
      <c r="Y9" s="18">
        <f ca="1">IFERROR(curve[[#This Row],[curve per year]]-curve[[#This Row],[curve per year (14d)]],"-")</f>
        <v>80.000000346026283</v>
      </c>
      <c r="Z9" s="18" cm="1">
        <f t="array" aca="1" ref="Z9" ca="1">_xll.BDH(curve[[#This Row],[short code]],curve[[#This Row],[hist spread measure]],$AA$2)</f>
        <v>324.60399999999998</v>
      </c>
      <c r="AA9" s="18" cm="1">
        <f t="array" aca="1" ref="AA9" ca="1">_xll.BDH(curve[[#This Row],[long code]],curve[[#This Row],[hist spread measure]],$AA$2)</f>
        <v>209.71100000000001</v>
      </c>
      <c r="AB9" s="18">
        <f ca="1">IFERROR(curve[[#This Row],[long spread (30d)]]-curve[[#This Row],[short spread (30d)]],"-")</f>
        <v>-114.89299999999997</v>
      </c>
      <c r="AC9" s="18">
        <f ca="1">IFERROR(curve[[#This Row],[curve (30d)]]/curve[[#This Row],[years]],"-")</f>
        <v>-94.026782511210726</v>
      </c>
      <c r="AD9" s="18">
        <f ca="1">IFERROR(curve[[#This Row],[curve per year]]-curve[[#This Row],[curve per year (30d)]],"-")</f>
        <v>123.47510124288725</v>
      </c>
      <c r="AE9" s="18" cm="1">
        <f t="array" ref="AE9">_xll.BDP(curve[[#This Row],[short code]],"interval_avg","calc_interval=30d","market_data_override=sp210")</f>
        <v>287.49424137931038</v>
      </c>
      <c r="AF9" s="18" cm="1">
        <f t="array" ref="AF9">_xll.BDP(curve[[#This Row],[short code]],"interval_avg","calc_interval=90d","market_data_override=sp210")</f>
        <v>337.17411627906972</v>
      </c>
      <c r="AG9" s="18" cm="1">
        <f t="array" ref="AG9">_xll.BDP(curve[[#This Row],[short code]],"interval_std_dev","calc_interval=30d","market_data_override=sp210")</f>
        <v>28.652420715054994</v>
      </c>
    </row>
    <row r="10" spans="2:33" x14ac:dyDescent="0.25">
      <c r="B10" s="11" t="s">
        <v>52</v>
      </c>
      <c r="C10" s="12" t="s">
        <v>53</v>
      </c>
      <c r="D10" s="12" t="s">
        <v>54</v>
      </c>
      <c r="E10" s="5" t="str" cm="1">
        <f t="array" ref="E10">_xll.BDP(curve[[#This Row],[short code]],"security_name")</f>
        <v>NTGYSM 4 1/8 PERP</v>
      </c>
      <c r="F10" s="5" t="str" cm="1">
        <f t="array" ref="F10">_xll.BDP(curve[[#This Row],[long code]],"security_name")</f>
        <v>NTGYSM 3 3/8 PERP</v>
      </c>
      <c r="G10" s="8" cm="1">
        <f t="array" ref="G10">_xll.BDP(curve[[#This Row],[short code]],"nxt_call_dt")*1</f>
        <v>44883</v>
      </c>
      <c r="H10" s="8" cm="1">
        <f t="array" ref="H10">_xll.BDP(curve[[#This Row],[long code]],"nxt_call_dt")*1</f>
        <v>45406</v>
      </c>
      <c r="I10" s="17">
        <f>(curve[[#This Row],[long date]]-curve[[#This Row],[short date]])/365</f>
        <v>1.4328767123287671</v>
      </c>
      <c r="J10" s="12" t="s">
        <v>35</v>
      </c>
      <c r="K10" s="18" cm="1">
        <f t="array" ref="K10">_xll.BDP(curve[[#This Row],[short code]],curve[[#This Row],[spread measure]])</f>
        <v>313.97883755071643</v>
      </c>
      <c r="L10" s="18" cm="1">
        <f t="array" ref="L10">_xll.BDP(curve[[#This Row],[long code]],curve[[#This Row],[spread measure]])</f>
        <v>342.69128186440872</v>
      </c>
      <c r="M10" s="18">
        <f>curve[[#This Row],[long spread]]-curve[[#This Row],[short spread]]</f>
        <v>28.712444313692288</v>
      </c>
      <c r="N10" s="18">
        <f>curve[[#This Row],[curve]]/curve[[#This Row],[years]]</f>
        <v>20.038321557356952</v>
      </c>
      <c r="O10" s="5" t="str" cm="1">
        <f t="array" ref="O10">_xll.BDP(curve[[#This Row],[short code]],"bb_composite")</f>
        <v>BB+</v>
      </c>
      <c r="P10" s="5" t="str" cm="1">
        <f t="array" ref="P10">_xll.BDP(curve[[#This Row],[long code]],"bb_composite")</f>
        <v>BB+</v>
      </c>
      <c r="Q10" s="5" t="str" cm="1">
        <f t="array" ref="Q10">_xll.BDP(curve[[#This Row],[short code]],"crncy")</f>
        <v>EUR</v>
      </c>
      <c r="R10" s="5" t="str" cm="1">
        <f t="array" ref="R10">_xll.BDP(curve[[#This Row],[long code]],"crncy")</f>
        <v>EUR</v>
      </c>
      <c r="S10" s="5" t="str">
        <f>INDEX(tkrBBG!AA:AA,MATCH(curve[[#This Row],[ticker]],tkrBBG!Z:Z,0))</f>
        <v>UTILS</v>
      </c>
      <c r="T10" s="12" t="s">
        <v>36</v>
      </c>
      <c r="U10" s="18" cm="1">
        <f t="array" aca="1" ref="U10" ca="1">_xll.BDH(curve[[#This Row],[short code]],curve[[#This Row],[hist spread measure]],$V$2)</f>
        <v>315.95499999999998</v>
      </c>
      <c r="V10" s="18" cm="1">
        <f t="array" aca="1" ref="V10" ca="1">_xll.BDH(curve[[#This Row],[long code]],curve[[#This Row],[hist spread measure]],$V$2)</f>
        <v>344</v>
      </c>
      <c r="W10" s="18">
        <f ca="1">IFERROR(curve[[#This Row],[long Spread (14d)]]-curve[[#This Row],[short Spread (14d)]],"-")</f>
        <v>28.045000000000016</v>
      </c>
      <c r="X10" s="18">
        <f ca="1">IFERROR(curve[[#This Row],[curve (14d)]]/curve[[#This Row],[years]],"-")</f>
        <v>19.572514340344178</v>
      </c>
      <c r="Y10" s="18">
        <f ca="1">IFERROR(curve[[#This Row],[curve per year]]-curve[[#This Row],[curve per year (14d)]],"-")</f>
        <v>0.46580721701277383</v>
      </c>
      <c r="Z10" s="18" cm="1">
        <f t="array" aca="1" ref="Z10" ca="1">_xll.BDH(curve[[#This Row],[short code]],curve[[#This Row],[hist spread measure]],$AA$2)</f>
        <v>341.1</v>
      </c>
      <c r="AA10" s="18" cm="1">
        <f t="array" aca="1" ref="AA10" ca="1">_xll.BDH(curve[[#This Row],[long code]],curve[[#This Row],[hist spread measure]],$AA$2)</f>
        <v>356.91699999999997</v>
      </c>
      <c r="AB10" s="18">
        <f ca="1">IFERROR(curve[[#This Row],[long spread (30d)]]-curve[[#This Row],[short spread (30d)]],"-")</f>
        <v>15.81699999999995</v>
      </c>
      <c r="AC10" s="18">
        <f ca="1">IFERROR(curve[[#This Row],[curve (30d)]]/curve[[#This Row],[years]],"-")</f>
        <v>11.038632887189259</v>
      </c>
      <c r="AD10" s="18">
        <f ca="1">IFERROR(curve[[#This Row],[curve per year]]-curve[[#This Row],[curve per year (30d)]],"-")</f>
        <v>8.9996886701676928</v>
      </c>
      <c r="AE10" s="18" cm="1">
        <f t="array" ref="AE10">_xll.BDP(curve[[#This Row],[short code]],"interval_avg","calc_interval=30d","market_data_override=sp210")</f>
        <v>321.42910344827601</v>
      </c>
      <c r="AF10" s="18" cm="1">
        <f t="array" ref="AF10">_xll.BDP(curve[[#This Row],[short code]],"interval_avg","calc_interval=90d","market_data_override=sp210")</f>
        <v>368.18001162790699</v>
      </c>
      <c r="AG10" s="18" cm="1">
        <f t="array" ref="AG10">_xll.BDP(curve[[#This Row],[short code]],"interval_std_dev","calc_interval=30d","market_data_override=sp210")</f>
        <v>20.25539418868259</v>
      </c>
    </row>
    <row r="11" spans="2:33" x14ac:dyDescent="0.25">
      <c r="B11" s="11" t="s">
        <v>55</v>
      </c>
      <c r="C11" s="12" t="s">
        <v>56</v>
      </c>
      <c r="D11" s="12" t="s">
        <v>57</v>
      </c>
      <c r="E11" s="5" t="str" cm="1">
        <f t="array" ref="E11">_xll.BDP(curve[[#This Row],[short code]],"security_name")</f>
        <v>EDF 4 PERP</v>
      </c>
      <c r="F11" s="5" t="str" cm="1">
        <f t="array" ref="F11">_xll.BDP(curve[[#This Row],[long code]],"security_name")</f>
        <v>EDF 5 PERP</v>
      </c>
      <c r="G11" s="8" cm="1">
        <f t="array" ref="G11">_xll.BDP(curve[[#This Row],[short code]],"nxt_call_dt")*1</f>
        <v>45477</v>
      </c>
      <c r="H11" s="8" cm="1">
        <f t="array" ref="H11">_xll.BDP(curve[[#This Row],[long code]],"nxt_call_dt")*1</f>
        <v>46044</v>
      </c>
      <c r="I11" s="17">
        <f>(curve[[#This Row],[long date]]-curve[[#This Row],[short date]])/365</f>
        <v>1.5534246575342465</v>
      </c>
      <c r="J11" s="12" t="s">
        <v>35</v>
      </c>
      <c r="K11" s="18" cm="1">
        <f t="array" ref="K11">_xll.BDP(curve[[#This Row],[short code]],curve[[#This Row],[spread measure]])</f>
        <v>325.07721193414682</v>
      </c>
      <c r="L11" s="18" cm="1">
        <f t="array" ref="L11">_xll.BDP(curve[[#This Row],[long code]],curve[[#This Row],[spread measure]])</f>
        <v>357.50887889874906</v>
      </c>
      <c r="M11" s="18">
        <f>curve[[#This Row],[long spread]]-curve[[#This Row],[short spread]]</f>
        <v>32.431666964602243</v>
      </c>
      <c r="N11" s="18">
        <f>curve[[#This Row],[curve]]/curve[[#This Row],[years]]</f>
        <v>20.877528116542891</v>
      </c>
      <c r="O11" s="5" t="str" cm="1">
        <f t="array" ref="O11">_xll.BDP(curve[[#This Row],[short code]],"bb_composite")</f>
        <v>BB+</v>
      </c>
      <c r="P11" s="5" t="str" cm="1">
        <f t="array" ref="P11">_xll.BDP(curve[[#This Row],[long code]],"bb_composite")</f>
        <v>BB+</v>
      </c>
      <c r="Q11" s="5" t="str" cm="1">
        <f t="array" ref="Q11">_xll.BDP(curve[[#This Row],[short code]],"crncy")</f>
        <v>EUR</v>
      </c>
      <c r="R11" s="5" t="str" cm="1">
        <f t="array" ref="R11">_xll.BDP(curve[[#This Row],[long code]],"crncy")</f>
        <v>EUR</v>
      </c>
      <c r="S11" s="5" t="str">
        <f>INDEX(tkrBBG!AA:AA,MATCH(curve[[#This Row],[ticker]],tkrBBG!Z:Z,0))</f>
        <v>UTILS</v>
      </c>
      <c r="T11" s="12" t="s">
        <v>36</v>
      </c>
      <c r="U11" s="18" cm="1">
        <f t="array" aca="1" ref="U11" ca="1">_xll.BDH(curve[[#This Row],[short code]],curve[[#This Row],[hist spread measure]],$V$2)</f>
        <v>389.33</v>
      </c>
      <c r="V11" s="18" cm="1">
        <f t="array" aca="1" ref="V11" ca="1">_xll.BDH(curve[[#This Row],[long code]],curve[[#This Row],[hist spread measure]],$V$2)</f>
        <v>408.45800000000003</v>
      </c>
      <c r="W11" s="18">
        <f ca="1">IFERROR(curve[[#This Row],[long Spread (14d)]]-curve[[#This Row],[short Spread (14d)]],"-")</f>
        <v>19.128000000000043</v>
      </c>
      <c r="X11" s="18">
        <f ca="1">IFERROR(curve[[#This Row],[curve (14d)]]/curve[[#This Row],[years]],"-")</f>
        <v>12.313439153439182</v>
      </c>
      <c r="Y11" s="18">
        <f ca="1">IFERROR(curve[[#This Row],[curve per year]]-curve[[#This Row],[curve per year (14d)]],"-")</f>
        <v>8.5640889631037087</v>
      </c>
      <c r="Z11" s="18" cm="1">
        <f t="array" aca="1" ref="Z11" ca="1">_xll.BDH(curve[[#This Row],[short code]],curve[[#This Row],[hist spread measure]],$AA$2)</f>
        <v>377.30700000000002</v>
      </c>
      <c r="AA11" s="18" cm="1">
        <f t="array" aca="1" ref="AA11" ca="1">_xll.BDH(curve[[#This Row],[long code]],curve[[#This Row],[hist spread measure]],$AA$2)</f>
        <v>401.89600000000002</v>
      </c>
      <c r="AB11" s="18">
        <f ca="1">IFERROR(curve[[#This Row],[long spread (30d)]]-curve[[#This Row],[short spread (30d)]],"-")</f>
        <v>24.588999999999999</v>
      </c>
      <c r="AC11" s="18">
        <f ca="1">IFERROR(curve[[#This Row],[curve (30d)]]/curve[[#This Row],[years]],"-")</f>
        <v>15.82889770723104</v>
      </c>
      <c r="AD11" s="18">
        <f ca="1">IFERROR(curve[[#This Row],[curve per year]]-curve[[#This Row],[curve per year (30d)]],"-")</f>
        <v>5.0486304093118513</v>
      </c>
      <c r="AE11" s="18" cm="1">
        <f t="array" ref="AE11">_xll.BDP(curve[[#This Row],[short code]],"interval_avg","calc_interval=30d","market_data_override=sp210")</f>
        <v>372.17444827586201</v>
      </c>
      <c r="AF11" s="18" cm="1">
        <f t="array" ref="AF11">_xll.BDP(curve[[#This Row],[short code]],"interval_avg","calc_interval=90d","market_data_override=sp210")</f>
        <v>419.28681395348838</v>
      </c>
      <c r="AG11" s="18" cm="1">
        <f t="array" ref="AG11">_xll.BDP(curve[[#This Row],[short code]],"interval_std_dev","calc_interval=30d","market_data_override=sp210")</f>
        <v>30.622221922493523</v>
      </c>
    </row>
    <row r="12" spans="2:33" x14ac:dyDescent="0.25">
      <c r="B12" s="11" t="s">
        <v>58</v>
      </c>
      <c r="C12" s="12" t="s">
        <v>59</v>
      </c>
      <c r="D12" s="12" t="s">
        <v>60</v>
      </c>
      <c r="E12" s="5" t="str" cm="1">
        <f t="array" ref="E12">_xll.BDP(curve[[#This Row],[short code]],"security_name")</f>
        <v>DBOERS 2 3/4 02/05/41</v>
      </c>
      <c r="F12" s="5" t="str" cm="1">
        <f t="array" ref="F12">_xll.BDP(curve[[#This Row],[long code]],"security_name")</f>
        <v>DBOERS 1 1/4 06/16/47</v>
      </c>
      <c r="G12" s="8" cm="1">
        <f t="array" ref="G12">_xll.BDP(curve[[#This Row],[short code]],"nxt_call_dt")*1</f>
        <v>44140</v>
      </c>
      <c r="H12" s="8" cm="1">
        <f t="array" ref="H12">_xll.BDP(curve[[#This Row],[long code]],"nxt_call_dt")*1</f>
        <v>46462</v>
      </c>
      <c r="I12" s="17">
        <f>(curve[[#This Row],[long date]]-curve[[#This Row],[short date]])/365</f>
        <v>6.3616438356164382</v>
      </c>
      <c r="J12" s="12" t="s">
        <v>35</v>
      </c>
      <c r="K12" s="18" cm="1">
        <f t="array" ref="K12">_xll.BDP(curve[[#This Row],[short code]],curve[[#This Row],[spread measure]])</f>
        <v>47.013230793768372</v>
      </c>
      <c r="L12" s="18" cm="1">
        <f t="array" ref="L12">_xll.BDP(curve[[#This Row],[long code]],curve[[#This Row],[spread measure]])</f>
        <v>152.14336084663844</v>
      </c>
      <c r="M12" s="18">
        <f>curve[[#This Row],[long spread]]-curve[[#This Row],[short spread]]</f>
        <v>105.13013005287007</v>
      </c>
      <c r="N12" s="18">
        <f>curve[[#This Row],[curve]]/curve[[#This Row],[years]]</f>
        <v>16.525623371790516</v>
      </c>
      <c r="O12" s="5" t="str" cm="1">
        <f t="array" ref="O12">_xll.BDP(curve[[#This Row],[short code]],"bb_composite")</f>
        <v>NR</v>
      </c>
      <c r="P12" s="5" t="str" cm="1">
        <f t="array" ref="P12">_xll.BDP(curve[[#This Row],[long code]],"bb_composite")</f>
        <v>NR</v>
      </c>
      <c r="Q12" s="5" t="str" cm="1">
        <f t="array" ref="Q12">_xll.BDP(curve[[#This Row],[short code]],"crncy")</f>
        <v>EUR</v>
      </c>
      <c r="R12" s="5" t="str" cm="1">
        <f t="array" ref="R12">_xll.BDP(curve[[#This Row],[long code]],"crncy")</f>
        <v>EUR</v>
      </c>
      <c r="S12" s="5" t="str">
        <f>INDEX(tkrBBG!AA:AA,MATCH(curve[[#This Row],[ticker]],tkrBBG!Z:Z,0))</f>
        <v>Low Beta</v>
      </c>
      <c r="T12" s="12" t="s">
        <v>36</v>
      </c>
      <c r="U12" s="18" cm="1">
        <f t="array" aca="1" ref="U12" ca="1">_xll.BDH(curve[[#This Row],[short code]],curve[[#This Row],[hist spread measure]],$V$2)</f>
        <v>62.738</v>
      </c>
      <c r="V12" s="18" cm="1">
        <f t="array" aca="1" ref="V12" ca="1">_xll.BDH(curve[[#This Row],[long code]],curve[[#This Row],[hist spread measure]],$V$2)</f>
        <v>147.91800000000001</v>
      </c>
      <c r="W12" s="18">
        <f ca="1">IFERROR(curve[[#This Row],[long Spread (14d)]]-curve[[#This Row],[short Spread (14d)]],"-")</f>
        <v>85.18</v>
      </c>
      <c r="X12" s="18">
        <f ca="1">IFERROR(curve[[#This Row],[curve (14d)]]/curve[[#This Row],[years]],"-")</f>
        <v>13.389621016365204</v>
      </c>
      <c r="Y12" s="18">
        <f ca="1">IFERROR(curve[[#This Row],[curve per year]]-curve[[#This Row],[curve per year (14d)]],"-")</f>
        <v>3.1360023554253118</v>
      </c>
      <c r="Z12" s="18" cm="1">
        <f t="array" aca="1" ref="Z12" ca="1">_xll.BDH(curve[[#This Row],[short code]],curve[[#This Row],[hist spread measure]],$AA$2)</f>
        <v>149.37200000000001</v>
      </c>
      <c r="AA12" s="18" t="str" cm="1">
        <f t="array" aca="1" ref="AA12" ca="1">_xll.BDH(curve[[#This Row],[long code]],curve[[#This Row],[hist spread measure]],$AA$2)</f>
        <v>#N/A N/A</v>
      </c>
      <c r="AB12" s="18" t="str">
        <f ca="1">IFERROR(curve[[#This Row],[long spread (30d)]]-curve[[#This Row],[short spread (30d)]],"-")</f>
        <v>-</v>
      </c>
      <c r="AC12" s="18" t="str">
        <f ca="1">IFERROR(curve[[#This Row],[curve (30d)]]/curve[[#This Row],[years]],"-")</f>
        <v>-</v>
      </c>
      <c r="AD12" s="18" t="str">
        <f ca="1">IFERROR(curve[[#This Row],[curve per year]]-curve[[#This Row],[curve per year (30d)]],"-")</f>
        <v>-</v>
      </c>
      <c r="AE12" s="18" cm="1">
        <f t="array" ref="AE12">_xll.BDP(curve[[#This Row],[short code]],"interval_avg","calc_interval=30d","market_data_override=sp210")</f>
        <v>74.95810344827585</v>
      </c>
      <c r="AF12" s="18" cm="1">
        <f t="array" ref="AF12">_xll.BDP(curve[[#This Row],[short code]],"interval_avg","calc_interval=90d","market_data_override=sp210")</f>
        <v>202.65660465116289</v>
      </c>
      <c r="AG12" s="18" cm="1">
        <f t="array" ref="AG12">_xll.BDP(curve[[#This Row],[short code]],"interval_std_dev","calc_interval=30d","market_data_override=sp210")</f>
        <v>38.259168976996158</v>
      </c>
    </row>
    <row r="13" spans="2:33" x14ac:dyDescent="0.25">
      <c r="B13" s="11" t="s">
        <v>61</v>
      </c>
      <c r="C13" s="12" t="s">
        <v>62</v>
      </c>
      <c r="D13" s="12" t="s">
        <v>63</v>
      </c>
      <c r="E13" s="5" t="str" cm="1">
        <f t="array" ref="E13">_xll.BDP(curve[[#This Row],[short code]],"security_name")</f>
        <v>ENELIM 2 1/2 11/24/78</v>
      </c>
      <c r="F13" s="5" t="str" cm="1">
        <f t="array" ref="F13">_xll.BDP(curve[[#This Row],[long code]],"security_name")</f>
        <v>ENELIM 3 3/8 11/24/81</v>
      </c>
      <c r="G13" s="8" cm="1">
        <f t="array" ref="G13">_xll.BDP(curve[[#This Row],[short code]],"nxt_call_dt")*1</f>
        <v>45162</v>
      </c>
      <c r="H13" s="8" cm="1">
        <f t="array" ref="H13">_xll.BDP(curve[[#This Row],[long code]],"nxt_call_dt")*1</f>
        <v>46258</v>
      </c>
      <c r="I13" s="17">
        <f>(curve[[#This Row],[long date]]-curve[[#This Row],[short date]])/365</f>
        <v>3.0027397260273974</v>
      </c>
      <c r="J13" s="12" t="s">
        <v>35</v>
      </c>
      <c r="K13" s="18" cm="1">
        <f t="array" ref="K13">_xll.BDP(curve[[#This Row],[short code]],curve[[#This Row],[spread measure]])</f>
        <v>269.84863898480842</v>
      </c>
      <c r="L13" s="18" cm="1">
        <f t="array" ref="L13">_xll.BDP(curve[[#This Row],[long code]],curve[[#This Row],[spread measure]])</f>
        <v>306.75918125557791</v>
      </c>
      <c r="M13" s="18">
        <f>curve[[#This Row],[long spread]]-curve[[#This Row],[short spread]]</f>
        <v>36.910542270769497</v>
      </c>
      <c r="N13" s="18">
        <f>curve[[#This Row],[curve]]/curve[[#This Row],[years]]</f>
        <v>12.292288256232542</v>
      </c>
      <c r="O13" s="5" t="str" cm="1">
        <f t="array" ref="O13">_xll.BDP(curve[[#This Row],[short code]],"bb_composite")</f>
        <v>BBB-</v>
      </c>
      <c r="P13" s="5" t="str" cm="1">
        <f t="array" ref="P13">_xll.BDP(curve[[#This Row],[long code]],"bb_composite")</f>
        <v>BBB-</v>
      </c>
      <c r="Q13" s="5" t="str" cm="1">
        <f t="array" ref="Q13">_xll.BDP(curve[[#This Row],[short code]],"crncy")</f>
        <v>EUR</v>
      </c>
      <c r="R13" s="5" t="str" cm="1">
        <f t="array" ref="R13">_xll.BDP(curve[[#This Row],[long code]],"crncy")</f>
        <v>EUR</v>
      </c>
      <c r="S13" s="5" t="str">
        <f>INDEX(tkrBBG!AA:AA,MATCH(curve[[#This Row],[ticker]],tkrBBG!Z:Z,0))</f>
        <v>UTILS</v>
      </c>
      <c r="T13" s="12" t="s">
        <v>36</v>
      </c>
      <c r="U13" s="18" cm="1">
        <f t="array" aca="1" ref="U13" ca="1">_xll.BDH(curve[[#This Row],[short code]],curve[[#This Row],[hist spread measure]],$V$2)</f>
        <v>260.19</v>
      </c>
      <c r="V13" s="18" cm="1">
        <f t="array" aca="1" ref="V13" ca="1">_xll.BDH(curve[[#This Row],[long code]],curve[[#This Row],[hist spread measure]],$V$2)</f>
        <v>302.976</v>
      </c>
      <c r="W13" s="18">
        <f ca="1">IFERROR(curve[[#This Row],[long Spread (14d)]]-curve[[#This Row],[short Spread (14d)]],"-")</f>
        <v>42.786000000000001</v>
      </c>
      <c r="X13" s="18">
        <f ca="1">IFERROR(curve[[#This Row],[curve (14d)]]/curve[[#This Row],[years]],"-")</f>
        <v>14.248987226277372</v>
      </c>
      <c r="Y13" s="18">
        <f ca="1">IFERROR(curve[[#This Row],[curve per year]]-curve[[#This Row],[curve per year (14d)]],"-")</f>
        <v>-1.9566989700448296</v>
      </c>
      <c r="Z13" s="18" cm="1">
        <f t="array" aca="1" ref="Z13" ca="1">_xll.BDH(curve[[#This Row],[short code]],curve[[#This Row],[hist spread measure]],$AA$2)</f>
        <v>269.33699999999999</v>
      </c>
      <c r="AA13" s="18" cm="1">
        <f t="array" aca="1" ref="AA13" ca="1">_xll.BDH(curve[[#This Row],[long code]],curve[[#This Row],[hist spread measure]],$AA$2)</f>
        <v>303.70600000000002</v>
      </c>
      <c r="AB13" s="18">
        <f ca="1">IFERROR(curve[[#This Row],[long spread (30d)]]-curve[[#This Row],[short spread (30d)]],"-")</f>
        <v>34.369000000000028</v>
      </c>
      <c r="AC13" s="18">
        <f ca="1">IFERROR(curve[[#This Row],[curve (30d)]]/curve[[#This Row],[years]],"-")</f>
        <v>11.445880474452563</v>
      </c>
      <c r="AD13" s="18">
        <f ca="1">IFERROR(curve[[#This Row],[curve per year]]-curve[[#This Row],[curve per year (30d)]],"-")</f>
        <v>0.84640778177997866</v>
      </c>
      <c r="AE13" s="18" cm="1">
        <f t="array" ref="AE13">_xll.BDP(curve[[#This Row],[short code]],"interval_avg","calc_interval=30d","market_data_override=sp210")</f>
        <v>254.93765517241383</v>
      </c>
      <c r="AF13" s="18" cm="1">
        <f t="array" ref="AF13">_xll.BDP(curve[[#This Row],[short code]],"interval_avg","calc_interval=90d","market_data_override=sp210")</f>
        <v>335.25166279069765</v>
      </c>
      <c r="AG13" s="18" cm="1">
        <f t="array" ref="AG13">_xll.BDP(curve[[#This Row],[short code]],"interval_std_dev","calc_interval=30d","market_data_override=sp210")</f>
        <v>24.592157449473692</v>
      </c>
    </row>
    <row r="14" spans="2:33" x14ac:dyDescent="0.25">
      <c r="B14" s="11" t="s">
        <v>64</v>
      </c>
      <c r="C14" s="12" t="s">
        <v>65</v>
      </c>
      <c r="D14" s="12" t="s">
        <v>66</v>
      </c>
      <c r="E14" s="5" t="str" cm="1">
        <f t="array" ref="E14">_xll.BDP(curve[[#This Row],[short code]],"security_name")</f>
        <v>BAYNGR 3 3/4 07/01/74</v>
      </c>
      <c r="F14" s="5" t="str" cm="1">
        <f t="array" ref="F14">_xll.BDP(curve[[#This Row],[long code]],"security_name")</f>
        <v>BAYNGR 3 1/8 11/12/79</v>
      </c>
      <c r="G14" s="8" cm="1">
        <f t="array" ref="G14">_xll.BDP(curve[[#This Row],[short code]],"nxt_call_dt")*1</f>
        <v>45474</v>
      </c>
      <c r="H14" s="8" cm="1">
        <f t="array" ref="H14">_xll.BDP(curve[[#This Row],[long code]],"nxt_call_dt")*1</f>
        <v>46611</v>
      </c>
      <c r="I14" s="17">
        <f>(curve[[#This Row],[long date]]-curve[[#This Row],[short date]])/365</f>
        <v>3.1150684931506851</v>
      </c>
      <c r="J14" s="12" t="s">
        <v>35</v>
      </c>
      <c r="K14" s="18" cm="1">
        <f t="array" ref="K14">_xll.BDP(curve[[#This Row],[short code]],curve[[#This Row],[spread measure]])</f>
        <v>297.92803836907791</v>
      </c>
      <c r="L14" s="18" cm="1">
        <f t="array" ref="L14">_xll.BDP(curve[[#This Row],[long code]],curve[[#This Row],[spread measure]])</f>
        <v>338.55858698132403</v>
      </c>
      <c r="M14" s="18">
        <f>curve[[#This Row],[long spread]]-curve[[#This Row],[short spread]]</f>
        <v>40.630548612246116</v>
      </c>
      <c r="N14" s="18">
        <f>curve[[#This Row],[curve]]/curve[[#This Row],[years]]</f>
        <v>13.043228006569773</v>
      </c>
      <c r="O14" s="5" t="str" cm="1">
        <f t="array" ref="O14">_xll.BDP(curve[[#This Row],[short code]],"bb_composite")</f>
        <v>BB+</v>
      </c>
      <c r="P14" s="5" t="str" cm="1">
        <f t="array" ref="P14">_xll.BDP(curve[[#This Row],[long code]],"bb_composite")</f>
        <v>BB+</v>
      </c>
      <c r="Q14" s="5" t="str" cm="1">
        <f t="array" ref="Q14">_xll.BDP(curve[[#This Row],[short code]],"crncy")</f>
        <v>EUR</v>
      </c>
      <c r="R14" s="5" t="str" cm="1">
        <f t="array" ref="R14">_xll.BDP(curve[[#This Row],[long code]],"crncy")</f>
        <v>EUR</v>
      </c>
      <c r="S14" s="5" t="str">
        <f>INDEX(tkrBBG!AA:AA,MATCH(curve[[#This Row],[ticker]],tkrBBG!Z:Z,0))</f>
        <v>Low Beta</v>
      </c>
      <c r="T14" s="12" t="s">
        <v>36</v>
      </c>
      <c r="U14" s="18" cm="1">
        <f t="array" aca="1" ref="U14" ca="1">_xll.BDH(curve[[#This Row],[short code]],curve[[#This Row],[hist spread measure]],$V$2)</f>
        <v>305.48</v>
      </c>
      <c r="V14" s="18" cm="1">
        <f t="array" aca="1" ref="V14" ca="1">_xll.BDH(curve[[#This Row],[long code]],curve[[#This Row],[hist spread measure]],$V$2)</f>
        <v>341.74200000000002</v>
      </c>
      <c r="W14" s="18">
        <f ca="1">IFERROR(curve[[#This Row],[long Spread (14d)]]-curve[[#This Row],[short Spread (14d)]],"-")</f>
        <v>36.262</v>
      </c>
      <c r="X14" s="18">
        <f ca="1">IFERROR(curve[[#This Row],[curve (14d)]]/curve[[#This Row],[years]],"-")</f>
        <v>11.640835532102022</v>
      </c>
      <c r="Y14" s="18">
        <f ca="1">IFERROR(curve[[#This Row],[curve per year]]-curve[[#This Row],[curve per year (14d)]],"-")</f>
        <v>1.4023924744677512</v>
      </c>
      <c r="Z14" s="18" cm="1">
        <f t="array" aca="1" ref="Z14" ca="1">_xll.BDH(curve[[#This Row],[short code]],curve[[#This Row],[hist spread measure]],$AA$2)</f>
        <v>280.88499999999999</v>
      </c>
      <c r="AA14" s="18" cm="1">
        <f t="array" aca="1" ref="AA14" ca="1">_xll.BDH(curve[[#This Row],[long code]],curve[[#This Row],[hist spread measure]],$AA$2)</f>
        <v>337.90699999999998</v>
      </c>
      <c r="AB14" s="18">
        <f ca="1">IFERROR(curve[[#This Row],[long spread (30d)]]-curve[[#This Row],[short spread (30d)]],"-")</f>
        <v>57.021999999999991</v>
      </c>
      <c r="AC14" s="18">
        <f ca="1">IFERROR(curve[[#This Row],[curve (30d)]]/curve[[#This Row],[years]],"-")</f>
        <v>18.305215479331569</v>
      </c>
      <c r="AD14" s="18">
        <f ca="1">IFERROR(curve[[#This Row],[curve per year]]-curve[[#This Row],[curve per year (30d)]],"-")</f>
        <v>-5.2619874727617955</v>
      </c>
      <c r="AE14" s="18" cm="1">
        <f t="array" ref="AE14">_xll.BDP(curve[[#This Row],[short code]],"interval_avg","calc_interval=30d","market_data_override=sp210")</f>
        <v>289.83020689655166</v>
      </c>
      <c r="AF14" s="18" cm="1">
        <f t="array" ref="AF14">_xll.BDP(curve[[#This Row],[short code]],"interval_avg","calc_interval=90d","market_data_override=sp210")</f>
        <v>373.79880232558145</v>
      </c>
      <c r="AG14" s="18" cm="1">
        <f t="array" ref="AG14">_xll.BDP(curve[[#This Row],[short code]],"interval_std_dev","calc_interval=30d","market_data_override=sp210")</f>
        <v>24.38823898108517</v>
      </c>
    </row>
    <row r="15" spans="2:33" x14ac:dyDescent="0.25">
      <c r="B15" s="11" t="s">
        <v>67</v>
      </c>
      <c r="C15" s="12" t="s">
        <v>68</v>
      </c>
      <c r="D15" s="12" t="s">
        <v>69</v>
      </c>
      <c r="E15" s="5" t="str" cm="1">
        <f t="array" ref="E15">_xll.BDP(curve[[#This Row],[short code]],"security_name")</f>
        <v>ORAFP 5 1/4 PERP</v>
      </c>
      <c r="F15" s="5" t="str" cm="1">
        <f t="array" ref="F15">_xll.BDP(curve[[#This Row],[long code]],"security_name")</f>
        <v>ORAFP 5 PERP</v>
      </c>
      <c r="G15" s="8" cm="1">
        <f t="array" ref="G15">_xll.BDP(curve[[#This Row],[short code]],"nxt_call_dt")*1</f>
        <v>45329</v>
      </c>
      <c r="H15" s="8" cm="1">
        <f t="array" ref="H15">_xll.BDP(curve[[#This Row],[long code]],"nxt_call_dt")*1</f>
        <v>46296</v>
      </c>
      <c r="I15" s="17">
        <f>(curve[[#This Row],[long date]]-curve[[#This Row],[short date]])/365</f>
        <v>2.6493150684931508</v>
      </c>
      <c r="J15" s="12" t="s">
        <v>35</v>
      </c>
      <c r="K15" s="18" cm="1">
        <f t="array" ref="K15">_xll.BDP(curve[[#This Row],[short code]],curve[[#This Row],[spread measure]])</f>
        <v>213.48904851858163</v>
      </c>
      <c r="L15" s="18" cm="1">
        <f t="array" ref="L15">_xll.BDP(curve[[#This Row],[long code]],curve[[#This Row],[spread measure]])</f>
        <v>245.33404795369057</v>
      </c>
      <c r="M15" s="18">
        <f>curve[[#This Row],[long spread]]-curve[[#This Row],[short spread]]</f>
        <v>31.844999435108946</v>
      </c>
      <c r="N15" s="18">
        <f>curve[[#This Row],[curve]]/curve[[#This Row],[years]]</f>
        <v>12.020087687502341</v>
      </c>
      <c r="O15" s="5" t="str" cm="1">
        <f t="array" ref="O15">_xll.BDP(curve[[#This Row],[short code]],"bb_composite")</f>
        <v>BBB-</v>
      </c>
      <c r="P15" s="5" t="str" cm="1">
        <f t="array" ref="P15">_xll.BDP(curve[[#This Row],[long code]],"bb_composite")</f>
        <v>BBB-</v>
      </c>
      <c r="Q15" s="5" t="str" cm="1">
        <f t="array" ref="Q15">_xll.BDP(curve[[#This Row],[short code]],"crncy")</f>
        <v>EUR</v>
      </c>
      <c r="R15" s="5" t="str" cm="1">
        <f t="array" ref="R15">_xll.BDP(curve[[#This Row],[long code]],"crncy")</f>
        <v>EUR</v>
      </c>
      <c r="S15" s="5" t="str">
        <f>INDEX(tkrBBG!AA:AA,MATCH(curve[[#This Row],[ticker]],tkrBBG!Z:Z,0))</f>
        <v>TMT/ AUTO</v>
      </c>
      <c r="T15" s="12" t="s">
        <v>36</v>
      </c>
      <c r="U15" s="18" cm="1">
        <f t="array" aca="1" ref="U15" ca="1">_xll.BDH(curve[[#This Row],[short code]],curve[[#This Row],[hist spread measure]],$V$2)</f>
        <v>226.465</v>
      </c>
      <c r="V15" s="18" cm="1">
        <f t="array" aca="1" ref="V15" ca="1">_xll.BDH(curve[[#This Row],[long code]],curve[[#This Row],[hist spread measure]],$V$2)</f>
        <v>250.654</v>
      </c>
      <c r="W15" s="18">
        <f ca="1">IFERROR(curve[[#This Row],[long Spread (14d)]]-curve[[#This Row],[short Spread (14d)]],"-")</f>
        <v>24.188999999999993</v>
      </c>
      <c r="X15" s="18">
        <f ca="1">IFERROR(curve[[#This Row],[curve (14d)]]/curve[[#This Row],[years]],"-")</f>
        <v>9.1302843846949298</v>
      </c>
      <c r="Y15" s="18">
        <f ca="1">IFERROR(curve[[#This Row],[curve per year]]-curve[[#This Row],[curve per year (14d)]],"-")</f>
        <v>2.8898033028074117</v>
      </c>
      <c r="Z15" s="18" cm="1">
        <f t="array" aca="1" ref="Z15" ca="1">_xll.BDH(curve[[#This Row],[short code]],curve[[#This Row],[hist spread measure]],$AA$2)</f>
        <v>216.00200000000001</v>
      </c>
      <c r="AA15" s="18" cm="1">
        <f t="array" aca="1" ref="AA15" ca="1">_xll.BDH(curve[[#This Row],[long code]],curve[[#This Row],[hist spread measure]],$AA$2)</f>
        <v>252.63200000000001</v>
      </c>
      <c r="AB15" s="18">
        <f ca="1">IFERROR(curve[[#This Row],[long spread (30d)]]-curve[[#This Row],[short spread (30d)]],"-")</f>
        <v>36.629999999999995</v>
      </c>
      <c r="AC15" s="18">
        <f ca="1">IFERROR(curve[[#This Row],[curve (30d)]]/curve[[#This Row],[years]],"-")</f>
        <v>13.826215098241983</v>
      </c>
      <c r="AD15" s="18">
        <f ca="1">IFERROR(curve[[#This Row],[curve per year]]-curve[[#This Row],[curve per year (30d)]],"-")</f>
        <v>-1.8061274107396414</v>
      </c>
      <c r="AE15" s="18" cm="1">
        <f t="array" ref="AE15">_xll.BDP(curve[[#This Row],[short code]],"interval_avg","calc_interval=30d","market_data_override=sp210")</f>
        <v>217.0879655172414</v>
      </c>
      <c r="AF15" s="18" cm="1">
        <f t="array" ref="AF15">_xll.BDP(curve[[#This Row],[short code]],"interval_avg","calc_interval=90d","market_data_override=sp210")</f>
        <v>249.95675581395355</v>
      </c>
      <c r="AG15" s="18" cm="1">
        <f t="array" ref="AG15">_xll.BDP(curve[[#This Row],[short code]],"interval_std_dev","calc_interval=30d","market_data_override=sp210")</f>
        <v>17.064115806239961</v>
      </c>
    </row>
    <row r="16" spans="2:33" x14ac:dyDescent="0.25">
      <c r="B16" s="11" t="s">
        <v>70</v>
      </c>
      <c r="C16" s="12" t="s">
        <v>71</v>
      </c>
      <c r="D16" s="12" t="s">
        <v>72</v>
      </c>
      <c r="E16" s="5" t="str" cm="1">
        <f t="array" ref="E16">_xll.BDP(curve[[#This Row],[short code]],"security_name")</f>
        <v>AKFAST 3 7/8 10/05/78</v>
      </c>
      <c r="F16" s="5" t="str" cm="1">
        <f t="array" ref="F16">_xll.BDP(curve[[#This Row],[long code]],"security_name")</f>
        <v>AKFAST 2.249 05/17/81</v>
      </c>
      <c r="G16" s="8" cm="1">
        <f t="array" ref="G16">_xll.BDP(curve[[#This Row],[short code]],"nxt_call_dt")*1</f>
        <v>45115</v>
      </c>
      <c r="H16" s="8" cm="1">
        <f t="array" ref="H16">_xll.BDP(curve[[#This Row],[long code]],"nxt_call_dt")*1</f>
        <v>46070</v>
      </c>
      <c r="I16" s="17">
        <f>(curve[[#This Row],[long date]]-curve[[#This Row],[short date]])/365</f>
        <v>2.6164383561643834</v>
      </c>
      <c r="J16" s="12" t="s">
        <v>35</v>
      </c>
      <c r="K16" s="18" cm="1">
        <f t="array" ref="K16">_xll.BDP(curve[[#This Row],[short code]],curve[[#This Row],[spread measure]])</f>
        <v>396.72454133060057</v>
      </c>
      <c r="L16" s="18" cm="1">
        <f t="array" ref="L16">_xll.BDP(curve[[#This Row],[long code]],curve[[#This Row],[spread measure]])</f>
        <v>427.00369466330238</v>
      </c>
      <c r="M16" s="18">
        <f>curve[[#This Row],[long spread]]-curve[[#This Row],[short spread]]</f>
        <v>30.27915333270181</v>
      </c>
      <c r="N16" s="18">
        <f>curve[[#This Row],[curve]]/curve[[#This Row],[years]]</f>
        <v>11.572660697838913</v>
      </c>
      <c r="O16" s="5" t="str" cm="1">
        <f t="array" ref="O16">_xll.BDP(curve[[#This Row],[short code]],"bb_composite")</f>
        <v>NR</v>
      </c>
      <c r="P16" s="5" t="str" cm="1">
        <f t="array" ref="P16">_xll.BDP(curve[[#This Row],[long code]],"bb_composite")</f>
        <v>NR</v>
      </c>
      <c r="Q16" s="5" t="str" cm="1">
        <f t="array" ref="Q16">_xll.BDP(curve[[#This Row],[short code]],"crncy")</f>
        <v>EUR</v>
      </c>
      <c r="R16" s="5" t="str" cm="1">
        <f t="array" ref="R16">_xll.BDP(curve[[#This Row],[long code]],"crncy")</f>
        <v>EUR</v>
      </c>
      <c r="S16" s="5" t="str">
        <f>INDEX(tkrBBG!AA:AA,MATCH(curve[[#This Row],[ticker]],tkrBBG!Z:Z,0))</f>
        <v>REIT</v>
      </c>
      <c r="T16" s="12" t="s">
        <v>36</v>
      </c>
      <c r="U16" s="18" cm="1">
        <f t="array" aca="1" ref="U16" ca="1">_xll.BDH(curve[[#This Row],[short code]],curve[[#This Row],[hist spread measure]],$V$2)</f>
        <v>390.32299999999998</v>
      </c>
      <c r="V16" s="18" cm="1">
        <f t="array" aca="1" ref="V16" ca="1">_xll.BDH(curve[[#This Row],[long code]],curve[[#This Row],[hist spread measure]],$V$2)</f>
        <v>418.42</v>
      </c>
      <c r="W16" s="18">
        <f ca="1">IFERROR(curve[[#This Row],[long Spread (14d)]]-curve[[#This Row],[short Spread (14d)]],"-")</f>
        <v>28.097000000000037</v>
      </c>
      <c r="X16" s="18">
        <f ca="1">IFERROR(curve[[#This Row],[curve (14d)]]/curve[[#This Row],[years]],"-")</f>
        <v>10.738643979057606</v>
      </c>
      <c r="Y16" s="18">
        <f ca="1">IFERROR(curve[[#This Row],[curve per year]]-curve[[#This Row],[curve per year (14d)]],"-")</f>
        <v>0.83401671878130657</v>
      </c>
      <c r="Z16" s="18" cm="1">
        <f t="array" aca="1" ref="Z16" ca="1">_xll.BDH(curve[[#This Row],[short code]],curve[[#This Row],[hist spread measure]],$AA$2)</f>
        <v>417.90100000000001</v>
      </c>
      <c r="AA16" s="18" cm="1">
        <f t="array" aca="1" ref="AA16" ca="1">_xll.BDH(curve[[#This Row],[long code]],curve[[#This Row],[hist spread measure]],$AA$2)</f>
        <v>447.714</v>
      </c>
      <c r="AB16" s="18">
        <f ca="1">IFERROR(curve[[#This Row],[long spread (30d)]]-curve[[#This Row],[short spread (30d)]],"-")</f>
        <v>29.812999999999988</v>
      </c>
      <c r="AC16" s="18">
        <f ca="1">IFERROR(curve[[#This Row],[curve (30d)]]/curve[[#This Row],[years]],"-")</f>
        <v>11.394497382198949</v>
      </c>
      <c r="AD16" s="18">
        <f ca="1">IFERROR(curve[[#This Row],[curve per year]]-curve[[#This Row],[curve per year (30d)]],"-")</f>
        <v>0.17816331563996357</v>
      </c>
      <c r="AE16" s="18" cm="1">
        <f t="array" ref="AE16">_xll.BDP(curve[[#This Row],[short code]],"interval_avg","calc_interval=30d","market_data_override=sp210")</f>
        <v>393.12413793103451</v>
      </c>
      <c r="AF16" s="18" cm="1">
        <f t="array" ref="AF16">_xll.BDP(curve[[#This Row],[short code]],"interval_avg","calc_interval=90d","market_data_override=sp210")</f>
        <v>486.17848837209306</v>
      </c>
      <c r="AG16" s="18" cm="1">
        <f t="array" ref="AG16">_xll.BDP(curve[[#This Row],[short code]],"interval_std_dev","calc_interval=30d","market_data_override=sp210")</f>
        <v>23.857378989864124</v>
      </c>
    </row>
    <row r="17" spans="2:33" x14ac:dyDescent="0.25">
      <c r="B17" s="11" t="s">
        <v>73</v>
      </c>
      <c r="C17" s="12" t="s">
        <v>74</v>
      </c>
      <c r="D17" s="12" t="s">
        <v>75</v>
      </c>
      <c r="E17" s="5" t="str" cm="1">
        <f t="array" ref="E17">_xll.BDP(curve[[#This Row],[short code]],"security_name")</f>
        <v>MRKGR 1 5/8 06/25/79</v>
      </c>
      <c r="F17" s="5" t="str" cm="1">
        <f t="array" ref="F17">_xll.BDP(curve[[#This Row],[long code]],"security_name")</f>
        <v>MRKGR 2 7/8 06/25/79</v>
      </c>
      <c r="G17" s="8" cm="1">
        <f t="array" ref="G17">_xll.BDP(curve[[#This Row],[short code]],"nxt_call_dt")*1</f>
        <v>45553</v>
      </c>
      <c r="H17" s="8" cm="1">
        <f t="array" ref="H17">_xll.BDP(curve[[#This Row],[long code]],"nxt_call_dt")*1</f>
        <v>47202</v>
      </c>
      <c r="I17" s="17">
        <f>(curve[[#This Row],[long date]]-curve[[#This Row],[short date]])/365</f>
        <v>4.5178082191780824</v>
      </c>
      <c r="J17" s="12" t="s">
        <v>35</v>
      </c>
      <c r="K17" s="18" cm="1">
        <f t="array" ref="K17">_xll.BDP(curve[[#This Row],[short code]],curve[[#This Row],[spread measure]])</f>
        <v>194.08227869092465</v>
      </c>
      <c r="L17" s="18" cm="1">
        <f t="array" ref="L17">_xll.BDP(curve[[#This Row],[long code]],curve[[#This Row],[spread measure]])</f>
        <v>246.92841448221063</v>
      </c>
      <c r="M17" s="18">
        <f>curve[[#This Row],[long spread]]-curve[[#This Row],[short spread]]</f>
        <v>52.846135791285974</v>
      </c>
      <c r="N17" s="18">
        <f>curve[[#This Row],[curve]]/curve[[#This Row],[years]]</f>
        <v>11.697295065991133</v>
      </c>
      <c r="O17" s="5" t="str" cm="1">
        <f t="array" ref="O17">_xll.BDP(curve[[#This Row],[short code]],"bb_composite")</f>
        <v>BBB</v>
      </c>
      <c r="P17" s="5" t="str" cm="1">
        <f t="array" ref="P17">_xll.BDP(curve[[#This Row],[long code]],"bb_composite")</f>
        <v>BBB</v>
      </c>
      <c r="Q17" s="5" t="str" cm="1">
        <f t="array" ref="Q17">_xll.BDP(curve[[#This Row],[short code]],"crncy")</f>
        <v>EUR</v>
      </c>
      <c r="R17" s="5" t="str" cm="1">
        <f t="array" ref="R17">_xll.BDP(curve[[#This Row],[long code]],"crncy")</f>
        <v>EUR</v>
      </c>
      <c r="S17" s="5" t="str">
        <f>INDEX(tkrBBG!AA:AA,MATCH(curve[[#This Row],[ticker]],tkrBBG!Z:Z,0))</f>
        <v>Low Beta</v>
      </c>
      <c r="T17" s="12" t="s">
        <v>36</v>
      </c>
      <c r="U17" s="18" cm="1">
        <f t="array" aca="1" ref="U17" ca="1">_xll.BDH(curve[[#This Row],[short code]],curve[[#This Row],[hist spread measure]],$V$2)</f>
        <v>188.55799999999999</v>
      </c>
      <c r="V17" s="18" cm="1">
        <f t="array" aca="1" ref="V17" ca="1">_xll.BDH(curve[[#This Row],[long code]],curve[[#This Row],[hist spread measure]],$V$2)</f>
        <v>238.98099999999999</v>
      </c>
      <c r="W17" s="18">
        <f ca="1">IFERROR(curve[[#This Row],[long Spread (14d)]]-curve[[#This Row],[short Spread (14d)]],"-")</f>
        <v>50.423000000000002</v>
      </c>
      <c r="X17" s="18">
        <f ca="1">IFERROR(curve[[#This Row],[curve (14d)]]/curve[[#This Row],[years]],"-")</f>
        <v>11.160942995755002</v>
      </c>
      <c r="Y17" s="18">
        <f ca="1">IFERROR(curve[[#This Row],[curve per year]]-curve[[#This Row],[curve per year (14d)]],"-")</f>
        <v>0.53635207023613063</v>
      </c>
      <c r="Z17" s="18" cm="1">
        <f t="array" aca="1" ref="Z17" ca="1">_xll.BDH(curve[[#This Row],[short code]],curve[[#This Row],[hist spread measure]],$AA$2)</f>
        <v>192.81800000000001</v>
      </c>
      <c r="AA17" s="18" cm="1">
        <f t="array" aca="1" ref="AA17" ca="1">_xll.BDH(curve[[#This Row],[long code]],curve[[#This Row],[hist spread measure]],$AA$2)</f>
        <v>237.488</v>
      </c>
      <c r="AB17" s="18">
        <f ca="1">IFERROR(curve[[#This Row],[long spread (30d)]]-curve[[#This Row],[short spread (30d)]],"-")</f>
        <v>44.669999999999987</v>
      </c>
      <c r="AC17" s="18">
        <f ca="1">IFERROR(curve[[#This Row],[curve (30d)]]/curve[[#This Row],[years]],"-")</f>
        <v>9.8875379017586376</v>
      </c>
      <c r="AD17" s="18">
        <f ca="1">IFERROR(curve[[#This Row],[curve per year]]-curve[[#This Row],[curve per year (30d)]],"-")</f>
        <v>1.8097571642324954</v>
      </c>
      <c r="AE17" s="18" cm="1">
        <f t="array" ref="AE17">_xll.BDP(curve[[#This Row],[short code]],"interval_avg","calc_interval=30d","market_data_override=sp210")</f>
        <v>189.65679310344825</v>
      </c>
      <c r="AF17" s="18" cm="1">
        <f t="array" ref="AF17">_xll.BDP(curve[[#This Row],[short code]],"interval_avg","calc_interval=90d","market_data_override=sp210")</f>
        <v>261.33381395348852</v>
      </c>
      <c r="AG17" s="18" cm="1">
        <f t="array" ref="AG17">_xll.BDP(curve[[#This Row],[short code]],"interval_std_dev","calc_interval=30d","market_data_override=sp210")</f>
        <v>13.331363389121456</v>
      </c>
    </row>
    <row r="18" spans="2:33" x14ac:dyDescent="0.25">
      <c r="B18" s="11" t="s">
        <v>76</v>
      </c>
      <c r="C18" s="12" t="s">
        <v>77</v>
      </c>
      <c r="D18" s="12" t="s">
        <v>78</v>
      </c>
      <c r="E18" s="5" t="str" cm="1">
        <f t="array" ref="E18">_xll.BDP(curve[[#This Row],[short code]],"security_name")</f>
        <v>SEVFP 2 1/2 PERP</v>
      </c>
      <c r="F18" s="5" t="str" cm="1">
        <f t="array" ref="F18">_xll.BDP(curve[[#This Row],[long code]],"security_name")</f>
        <v>SEVFP 1 5/8 PERP</v>
      </c>
      <c r="G18" s="8" cm="1">
        <f t="array" ref="G18">_xll.BDP(curve[[#This Row],[short code]],"nxt_call_dt")*1</f>
        <v>44650</v>
      </c>
      <c r="H18" s="8" cm="1">
        <f t="array" ref="H18">_xll.BDP(curve[[#This Row],[long code]],"nxt_call_dt")*1</f>
        <v>46174</v>
      </c>
      <c r="I18" s="17">
        <f>(curve[[#This Row],[long date]]-curve[[#This Row],[short date]])/365</f>
        <v>4.1753424657534248</v>
      </c>
      <c r="J18" s="12" t="s">
        <v>35</v>
      </c>
      <c r="K18" s="18" cm="1">
        <f t="array" ref="K18">_xll.BDP(curve[[#This Row],[short code]],curve[[#This Row],[spread measure]])</f>
        <v>252.07128190560547</v>
      </c>
      <c r="L18" s="18" cm="1">
        <f t="array" ref="L18">_xll.BDP(curve[[#This Row],[long code]],curve[[#This Row],[spread measure]])</f>
        <v>290.73825098184477</v>
      </c>
      <c r="M18" s="18">
        <f>curve[[#This Row],[long spread]]-curve[[#This Row],[short spread]]</f>
        <v>38.666969076239297</v>
      </c>
      <c r="N18" s="18">
        <f>curve[[#This Row],[curve]]/curve[[#This Row],[years]]</f>
        <v>9.260789837813217</v>
      </c>
      <c r="O18" s="5" t="str" cm="1">
        <f t="array" ref="O18">_xll.BDP(curve[[#This Row],[short code]],"bb_composite")</f>
        <v>NR</v>
      </c>
      <c r="P18" s="5" t="str" cm="1">
        <f t="array" ref="P18">_xll.BDP(curve[[#This Row],[long code]],"bb_composite")</f>
        <v>NR</v>
      </c>
      <c r="Q18" s="5" t="str" cm="1">
        <f t="array" ref="Q18">_xll.BDP(curve[[#This Row],[short code]],"crncy")</f>
        <v>EUR</v>
      </c>
      <c r="R18" s="5" t="str" cm="1">
        <f t="array" ref="R18">_xll.BDP(curve[[#This Row],[long code]],"crncy")</f>
        <v>EUR</v>
      </c>
      <c r="S18" s="5" t="str">
        <f>INDEX(tkrBBG!AA:AA,MATCH(curve[[#This Row],[ticker]],tkrBBG!Z:Z,0))</f>
        <v>UTILS</v>
      </c>
      <c r="T18" s="12" t="s">
        <v>36</v>
      </c>
      <c r="U18" s="18" cm="1">
        <f t="array" aca="1" ref="U18" ca="1">_xll.BDH(curve[[#This Row],[short code]],curve[[#This Row],[hist spread measure]],$V$2)</f>
        <v>255.113</v>
      </c>
      <c r="V18" s="18" cm="1">
        <f t="array" aca="1" ref="V18" ca="1">_xll.BDH(curve[[#This Row],[long code]],curve[[#This Row],[hist spread measure]],$V$2)</f>
        <v>299.98399999999998</v>
      </c>
      <c r="W18" s="18">
        <f ca="1">IFERROR(curve[[#This Row],[long Spread (14d)]]-curve[[#This Row],[short Spread (14d)]],"-")</f>
        <v>44.870999999999981</v>
      </c>
      <c r="X18" s="18">
        <f ca="1">IFERROR(curve[[#This Row],[curve (14d)]]/curve[[#This Row],[years]],"-")</f>
        <v>10.746663385826766</v>
      </c>
      <c r="Y18" s="18">
        <f ca="1">IFERROR(curve[[#This Row],[curve per year]]-curve[[#This Row],[curve per year (14d)]],"-")</f>
        <v>-1.485873548013549</v>
      </c>
      <c r="Z18" s="18" cm="1">
        <f t="array" aca="1" ref="Z18" ca="1">_xll.BDH(curve[[#This Row],[short code]],curve[[#This Row],[hist spread measure]],$AA$2)</f>
        <v>262.452</v>
      </c>
      <c r="AA18" s="18" cm="1">
        <f t="array" aca="1" ref="AA18" ca="1">_xll.BDH(curve[[#This Row],[long code]],curve[[#This Row],[hist spread measure]],$AA$2)</f>
        <v>307.25200000000001</v>
      </c>
      <c r="AB18" s="18">
        <f ca="1">IFERROR(curve[[#This Row],[long spread (30d)]]-curve[[#This Row],[short spread (30d)]],"-")</f>
        <v>44.800000000000011</v>
      </c>
      <c r="AC18" s="18">
        <f ca="1">IFERROR(curve[[#This Row],[curve (30d)]]/curve[[#This Row],[years]],"-")</f>
        <v>10.729658792650921</v>
      </c>
      <c r="AD18" s="18">
        <f ca="1">IFERROR(curve[[#This Row],[curve per year]]-curve[[#This Row],[curve per year (30d)]],"-")</f>
        <v>-1.4688689548377045</v>
      </c>
      <c r="AE18" s="18" cm="1">
        <f t="array" ref="AE18">_xll.BDP(curve[[#This Row],[short code]],"interval_avg","calc_interval=30d","market_data_override=sp210")</f>
        <v>250.49975862068968</v>
      </c>
      <c r="AF18" s="18" cm="1">
        <f t="array" ref="AF18">_xll.BDP(curve[[#This Row],[short code]],"interval_avg","calc_interval=90d","market_data_override=sp210")</f>
        <v>305.67056976744186</v>
      </c>
      <c r="AG18" s="18" cm="1">
        <f t="array" ref="AG18">_xll.BDP(curve[[#This Row],[short code]],"interval_std_dev","calc_interval=30d","market_data_override=sp210")</f>
        <v>20.247664162732406</v>
      </c>
    </row>
    <row r="19" spans="2:33" x14ac:dyDescent="0.25">
      <c r="B19" s="11" t="s">
        <v>79</v>
      </c>
      <c r="C19" s="12" t="s">
        <v>80</v>
      </c>
      <c r="D19" s="12" t="s">
        <v>81</v>
      </c>
      <c r="E19" s="5" t="str" cm="1">
        <f t="array" ref="E19">_xll.BDP(curve[[#This Row],[short code]],"security_name")</f>
        <v>NGGLN 1 5/8 12/05/79</v>
      </c>
      <c r="F19" s="5" t="str" cm="1">
        <f t="array" ref="F19">_xll.BDP(curve[[#This Row],[long code]],"security_name")</f>
        <v>NGGLN 2 1/8 09/05/82</v>
      </c>
      <c r="G19" s="8" cm="1">
        <f t="array" ref="G19">_xll.BDP(curve[[#This Row],[short code]],"nxt_call_dt")*1</f>
        <v>45540</v>
      </c>
      <c r="H19" s="8" cm="1">
        <f t="array" ref="H19">_xll.BDP(curve[[#This Row],[long code]],"nxt_call_dt")*1</f>
        <v>46543</v>
      </c>
      <c r="I19" s="17">
        <f>(curve[[#This Row],[long date]]-curve[[#This Row],[short date]])/365</f>
        <v>2.7479452054794522</v>
      </c>
      <c r="J19" s="12" t="s">
        <v>35</v>
      </c>
      <c r="K19" s="18" cm="1">
        <f t="array" ref="K19">_xll.BDP(curve[[#This Row],[short code]],curve[[#This Row],[spread measure]])</f>
        <v>233.49571086423566</v>
      </c>
      <c r="L19" s="18" cm="1">
        <f t="array" ref="L19">_xll.BDP(curve[[#This Row],[long code]],curve[[#This Row],[spread measure]])</f>
        <v>264.17517809241184</v>
      </c>
      <c r="M19" s="18">
        <f>curve[[#This Row],[long spread]]-curve[[#This Row],[short spread]]</f>
        <v>30.679467228176179</v>
      </c>
      <c r="N19" s="18">
        <f>curve[[#This Row],[curve]]/curve[[#This Row],[years]]</f>
        <v>11.164512002277473</v>
      </c>
      <c r="O19" s="5" t="str" cm="1">
        <f t="array" ref="O19">_xll.BDP(curve[[#This Row],[short code]],"bb_composite")</f>
        <v>BBB-</v>
      </c>
      <c r="P19" s="5" t="str" cm="1">
        <f t="array" ref="P19">_xll.BDP(curve[[#This Row],[long code]],"bb_composite")</f>
        <v>BBB-</v>
      </c>
      <c r="Q19" s="5" t="str" cm="1">
        <f t="array" ref="Q19">_xll.BDP(curve[[#This Row],[short code]],"crncy")</f>
        <v>EUR</v>
      </c>
      <c r="R19" s="5" t="str" cm="1">
        <f t="array" ref="R19">_xll.BDP(curve[[#This Row],[long code]],"crncy")</f>
        <v>EUR</v>
      </c>
      <c r="S19" s="5" t="str">
        <f>INDEX(tkrBBG!AA:AA,MATCH(curve[[#This Row],[ticker]],tkrBBG!Z:Z,0))</f>
        <v>UTILS</v>
      </c>
      <c r="T19" s="12" t="s">
        <v>36</v>
      </c>
      <c r="U19" s="18" cm="1">
        <f t="array" aca="1" ref="U19" ca="1">_xll.BDH(curve[[#This Row],[short code]],curve[[#This Row],[hist spread measure]],$V$2)</f>
        <v>212.249</v>
      </c>
      <c r="V19" s="18" cm="1">
        <f t="array" aca="1" ref="V19" ca="1">_xll.BDH(curve[[#This Row],[long code]],curve[[#This Row],[hist spread measure]],$V$2)</f>
        <v>249.20599999999999</v>
      </c>
      <c r="W19" s="18">
        <f ca="1">IFERROR(curve[[#This Row],[long Spread (14d)]]-curve[[#This Row],[short Spread (14d)]],"-")</f>
        <v>36.956999999999994</v>
      </c>
      <c r="X19" s="18">
        <f ca="1">IFERROR(curve[[#This Row],[curve (14d)]]/curve[[#This Row],[years]],"-")</f>
        <v>13.448958125623127</v>
      </c>
      <c r="Y19" s="18">
        <f ca="1">IFERROR(curve[[#This Row],[curve per year]]-curve[[#This Row],[curve per year (14d)]],"-")</f>
        <v>-2.2844461233456546</v>
      </c>
      <c r="Z19" s="18" cm="1">
        <f t="array" aca="1" ref="Z19" ca="1">_xll.BDH(curve[[#This Row],[short code]],curve[[#This Row],[hist spread measure]],$AA$2)</f>
        <v>217.06</v>
      </c>
      <c r="AA19" s="18" cm="1">
        <f t="array" aca="1" ref="AA19" ca="1">_xll.BDH(curve[[#This Row],[long code]],curve[[#This Row],[hist spread measure]],$AA$2)</f>
        <v>260.29000000000002</v>
      </c>
      <c r="AB19" s="18">
        <f ca="1">IFERROR(curve[[#This Row],[long spread (30d)]]-curve[[#This Row],[short spread (30d)]],"-")</f>
        <v>43.230000000000018</v>
      </c>
      <c r="AC19" s="18">
        <f ca="1">IFERROR(curve[[#This Row],[curve (30d)]]/curve[[#This Row],[years]],"-")</f>
        <v>15.731754735792627</v>
      </c>
      <c r="AD19" s="18">
        <f ca="1">IFERROR(curve[[#This Row],[curve per year]]-curve[[#This Row],[curve per year (30d)]],"-")</f>
        <v>-4.5672427335151546</v>
      </c>
      <c r="AE19" s="18" cm="1">
        <f t="array" ref="AE19">_xll.BDP(curve[[#This Row],[short code]],"interval_avg","calc_interval=30d","market_data_override=sp210")</f>
        <v>214.22858620689658</v>
      </c>
      <c r="AF19" s="18" cm="1">
        <f t="array" ref="AF19">_xll.BDP(curve[[#This Row],[short code]],"interval_avg","calc_interval=90d","market_data_override=sp210")</f>
        <v>289.29343023255808</v>
      </c>
      <c r="AG19" s="18" cm="1">
        <f t="array" ref="AG19">_xll.BDP(curve[[#This Row],[short code]],"interval_std_dev","calc_interval=30d","market_data_override=sp210")</f>
        <v>20.284528022815177</v>
      </c>
    </row>
    <row r="20" spans="2:33" x14ac:dyDescent="0.25">
      <c r="B20" s="11" t="s">
        <v>82</v>
      </c>
      <c r="C20" s="12" t="s">
        <v>83</v>
      </c>
      <c r="D20" s="12" t="s">
        <v>84</v>
      </c>
      <c r="E20" s="5" t="str" cm="1">
        <f t="array" ref="E20">_xll.BDP(curve[[#This Row],[short code]],"security_name")</f>
        <v>BPLN 3 1/4 PERP</v>
      </c>
      <c r="F20" s="5" t="str" cm="1">
        <f t="array" ref="F20">_xll.BDP(curve[[#This Row],[long code]],"security_name")</f>
        <v>BPLN 3 5/8 PERP</v>
      </c>
      <c r="G20" s="8" cm="1">
        <f t="array" ref="G20">_xll.BDP(curve[[#This Row],[short code]],"nxt_call_dt")*1</f>
        <v>46103</v>
      </c>
      <c r="H20" s="8" cm="1">
        <f t="array" ref="H20">_xll.BDP(curve[[#This Row],[long code]],"nxt_call_dt")*1</f>
        <v>47199</v>
      </c>
      <c r="I20" s="17">
        <f>(curve[[#This Row],[long date]]-curve[[#This Row],[short date]])/365</f>
        <v>3.0027397260273974</v>
      </c>
      <c r="J20" s="12" t="s">
        <v>35</v>
      </c>
      <c r="K20" s="18" cm="1">
        <f t="array" ref="K20">_xll.BDP(curve[[#This Row],[short code]],curve[[#This Row],[spread measure]])</f>
        <v>324.25656355893534</v>
      </c>
      <c r="L20" s="18" cm="1">
        <f t="array" ref="L20">_xll.BDP(curve[[#This Row],[long code]],curve[[#This Row],[spread measure]])</f>
        <v>359.9415989956496</v>
      </c>
      <c r="M20" s="18">
        <f>curve[[#This Row],[long spread]]-curve[[#This Row],[short spread]]</f>
        <v>35.685035436714259</v>
      </c>
      <c r="N20" s="18">
        <f>curve[[#This Row],[curve]]/curve[[#This Row],[years]]</f>
        <v>11.884158699270715</v>
      </c>
      <c r="O20" s="5" t="str" cm="1">
        <f t="array" ref="O20">_xll.BDP(curve[[#This Row],[short code]],"bb_composite")</f>
        <v>BBB+</v>
      </c>
      <c r="P20" s="5" t="str" cm="1">
        <f t="array" ref="P20">_xll.BDP(curve[[#This Row],[long code]],"bb_composite")</f>
        <v>BBB+</v>
      </c>
      <c r="Q20" s="5" t="str" cm="1">
        <f t="array" ref="Q20">_xll.BDP(curve[[#This Row],[short code]],"crncy")</f>
        <v>EUR</v>
      </c>
      <c r="R20" s="5" t="str" cm="1">
        <f t="array" ref="R20">_xll.BDP(curve[[#This Row],[long code]],"crncy")</f>
        <v>EUR</v>
      </c>
      <c r="S20" s="5" t="str">
        <f>INDEX(tkrBBG!AA:AA,MATCH(curve[[#This Row],[ticker]],tkrBBG!Z:Z,0))</f>
        <v>Energy</v>
      </c>
      <c r="T20" s="12" t="s">
        <v>36</v>
      </c>
      <c r="U20" s="18" t="str" cm="1">
        <f t="array" aca="1" ref="U20" ca="1">_xll.BDH(curve[[#This Row],[short code]],curve[[#This Row],[hist spread measure]],$V$2)</f>
        <v>#N/A N/A</v>
      </c>
      <c r="V20" s="18" t="str" cm="1">
        <f t="array" aca="1" ref="V20" ca="1">_xll.BDH(curve[[#This Row],[long code]],curve[[#This Row],[hist spread measure]],$V$2)</f>
        <v>#N/A N/A</v>
      </c>
      <c r="W20" s="18" t="str">
        <f ca="1">IFERROR(curve[[#This Row],[long Spread (14d)]]-curve[[#This Row],[short Spread (14d)]],"-")</f>
        <v>-</v>
      </c>
      <c r="X20" s="18" t="str">
        <f ca="1">IFERROR(curve[[#This Row],[curve (14d)]]/curve[[#This Row],[years]],"-")</f>
        <v>-</v>
      </c>
      <c r="Y20" s="18" t="str">
        <f ca="1">IFERROR(curve[[#This Row],[curve per year]]-curve[[#This Row],[curve per year (14d)]],"-")</f>
        <v>-</v>
      </c>
      <c r="Z20" s="18" t="str" cm="1">
        <f t="array" aca="1" ref="Z20" ca="1">_xll.BDH(curve[[#This Row],[short code]],curve[[#This Row],[hist spread measure]],$AA$2)</f>
        <v>#N/A N/A</v>
      </c>
      <c r="AA20" s="18" t="str" cm="1">
        <f t="array" aca="1" ref="AA20" ca="1">_xll.BDH(curve[[#This Row],[long code]],curve[[#This Row],[hist spread measure]],$AA$2)</f>
        <v>#N/A N/A</v>
      </c>
      <c r="AB20" s="18" t="str">
        <f ca="1">IFERROR(curve[[#This Row],[long spread (30d)]]-curve[[#This Row],[short spread (30d)]],"-")</f>
        <v>-</v>
      </c>
      <c r="AC20" s="18" t="str">
        <f ca="1">IFERROR(curve[[#This Row],[curve (30d)]]/curve[[#This Row],[years]],"-")</f>
        <v>-</v>
      </c>
      <c r="AD20" s="18" t="str">
        <f ca="1">IFERROR(curve[[#This Row],[curve per year]]-curve[[#This Row],[curve per year (30d)]],"-")</f>
        <v>-</v>
      </c>
      <c r="AE20" s="18" cm="1">
        <f t="array" ref="AE20">_xll.BDP(curve[[#This Row],[short code]],"interval_avg","calc_interval=30d","market_data_override=sp210")</f>
        <v>347.1272222222222</v>
      </c>
      <c r="AF20" s="18" cm="1">
        <f t="array" ref="AF20">_xll.BDP(curve[[#This Row],[short code]],"interval_avg","calc_interval=90d","market_data_override=sp210")</f>
        <v>347.1272222222222</v>
      </c>
      <c r="AG20" s="18" cm="1">
        <f t="array" ref="AG20">_xll.BDP(curve[[#This Row],[short code]],"interval_std_dev","calc_interval=30d","market_data_override=sp210")</f>
        <v>12.411916318379058</v>
      </c>
    </row>
    <row r="21" spans="2:33" x14ac:dyDescent="0.25">
      <c r="B21" s="11" t="s">
        <v>85</v>
      </c>
      <c r="C21" s="12" t="s">
        <v>86</v>
      </c>
      <c r="D21" s="12" t="s">
        <v>87</v>
      </c>
      <c r="E21" s="5" t="str" cm="1">
        <f t="array" ref="E21">_xll.BDP(curve[[#This Row],[short code]],"security_name")</f>
        <v>SBBBSS 4 5/8 PERP</v>
      </c>
      <c r="F21" s="5" t="str" cm="1">
        <f t="array" ref="F21">_xll.BDP(curve[[#This Row],[long code]],"security_name")</f>
        <v>SBBBSS 2.624 PERP</v>
      </c>
      <c r="G21" s="8" cm="1">
        <f t="array" ref="G21">_xll.BDP(curve[[#This Row],[short code]],"nxt_call_dt")*1</f>
        <v>45409</v>
      </c>
      <c r="H21" s="8" cm="1">
        <f t="array" ref="H21">_xll.BDP(curve[[#This Row],[long code]],"nxt_call_dt")*1</f>
        <v>45687</v>
      </c>
      <c r="I21" s="17">
        <f>(curve[[#This Row],[long date]]-curve[[#This Row],[short date]])/365</f>
        <v>0.76164383561643834</v>
      </c>
      <c r="J21" s="12" t="s">
        <v>35</v>
      </c>
      <c r="K21" s="18" cm="1">
        <f t="array" ref="K21">_xll.BDP(curve[[#This Row],[short code]],curve[[#This Row],[spread measure]])</f>
        <v>473.37623241017246</v>
      </c>
      <c r="L21" s="18" cm="1">
        <f t="array" ref="L21">_xll.BDP(curve[[#This Row],[long code]],curve[[#This Row],[spread measure]])</f>
        <v>487.60404706393723</v>
      </c>
      <c r="M21" s="18">
        <f>curve[[#This Row],[long spread]]-curve[[#This Row],[short spread]]</f>
        <v>14.227814653764767</v>
      </c>
      <c r="N21" s="18">
        <f>curve[[#This Row],[curve]]/curve[[#This Row],[years]]</f>
        <v>18.680404131741511</v>
      </c>
      <c r="O21" s="5" t="str" cm="1">
        <f t="array" ref="O21">_xll.BDP(curve[[#This Row],[short code]],"bb_composite")</f>
        <v>BB</v>
      </c>
      <c r="P21" s="5" t="str" cm="1">
        <f t="array" ref="P21">_xll.BDP(curve[[#This Row],[long code]],"bb_composite")</f>
        <v>BB</v>
      </c>
      <c r="Q21" s="5" t="str" cm="1">
        <f t="array" ref="Q21">_xll.BDP(curve[[#This Row],[short code]],"crncy")</f>
        <v>EUR</v>
      </c>
      <c r="R21" s="5" t="str" cm="1">
        <f t="array" ref="R21">_xll.BDP(curve[[#This Row],[long code]],"crncy")</f>
        <v>EUR</v>
      </c>
      <c r="S21" s="5" t="str">
        <f>INDEX(tkrBBG!AA:AA,MATCH(curve[[#This Row],[ticker]],tkrBBG!Z:Z,0))</f>
        <v>REIT</v>
      </c>
      <c r="T21" s="12" t="s">
        <v>36</v>
      </c>
      <c r="U21" s="18" cm="1">
        <f t="array" aca="1" ref="U21" ca="1">_xll.BDH(curve[[#This Row],[short code]],curve[[#This Row],[hist spread measure]],$V$2)</f>
        <v>457.42899999999997</v>
      </c>
      <c r="V21" s="18" cm="1">
        <f t="array" aca="1" ref="V21" ca="1">_xll.BDH(curve[[#This Row],[long code]],curve[[#This Row],[hist spread measure]],$V$2)</f>
        <v>466.21199999999999</v>
      </c>
      <c r="W21" s="18">
        <f ca="1">IFERROR(curve[[#This Row],[long Spread (14d)]]-curve[[#This Row],[short Spread (14d)]],"-")</f>
        <v>8.7830000000000155</v>
      </c>
      <c r="X21" s="18">
        <f ca="1">IFERROR(curve[[#This Row],[curve (14d)]]/curve[[#This Row],[years]],"-")</f>
        <v>11.531636690647503</v>
      </c>
      <c r="Y21" s="18">
        <f ca="1">IFERROR(curve[[#This Row],[curve per year]]-curve[[#This Row],[curve per year (14d)]],"-")</f>
        <v>7.1487674410940087</v>
      </c>
      <c r="Z21" s="18" cm="1">
        <f t="array" aca="1" ref="Z21" ca="1">_xll.BDH(curve[[#This Row],[short code]],curve[[#This Row],[hist spread measure]],$AA$2)</f>
        <v>670.375</v>
      </c>
      <c r="AA21" s="18" cm="1">
        <f t="array" aca="1" ref="AA21" ca="1">_xll.BDH(curve[[#This Row],[long code]],curve[[#This Row],[hist spread measure]],$AA$2)</f>
        <v>620.26499999999999</v>
      </c>
      <c r="AB21" s="18">
        <f ca="1">IFERROR(curve[[#This Row],[long spread (30d)]]-curve[[#This Row],[short spread (30d)]],"-")</f>
        <v>-50.110000000000014</v>
      </c>
      <c r="AC21" s="18">
        <f ca="1">IFERROR(curve[[#This Row],[curve (30d)]]/curve[[#This Row],[years]],"-")</f>
        <v>-65.791906474820166</v>
      </c>
      <c r="AD21" s="18">
        <f ca="1">IFERROR(curve[[#This Row],[curve per year]]-curve[[#This Row],[curve per year (30d)]],"-")</f>
        <v>84.472310606561678</v>
      </c>
      <c r="AE21" s="18" cm="1">
        <f t="array" ref="AE21">_xll.BDP(curve[[#This Row],[short code]],"interval_avg","calc_interval=30d","market_data_override=sp210")</f>
        <v>542.83772413793099</v>
      </c>
      <c r="AF21" s="18" cm="1">
        <f t="array" ref="AF21">_xll.BDP(curve[[#This Row],[short code]],"interval_avg","calc_interval=90d","market_data_override=sp210")</f>
        <v>585.28409523809535</v>
      </c>
      <c r="AG21" s="18" cm="1">
        <f t="array" ref="AG21">_xll.BDP(curve[[#This Row],[short code]],"interval_std_dev","calc_interval=30d","market_data_override=sp210")</f>
        <v>87.58872190890483</v>
      </c>
    </row>
    <row r="22" spans="2:33" x14ac:dyDescent="0.25">
      <c r="B22" s="11" t="s">
        <v>88</v>
      </c>
      <c r="C22" s="12" t="s">
        <v>89</v>
      </c>
      <c r="D22" s="12" t="s">
        <v>90</v>
      </c>
      <c r="E22" s="5" t="str" cm="1">
        <f t="array" ref="E22">_xll.BDP(curve[[#This Row],[short code]],"security_name")</f>
        <v>ORSTED 6 1/4 06/26/13</v>
      </c>
      <c r="F22" s="5" t="str" cm="1">
        <f t="array" ref="F22">_xll.BDP(curve[[#This Row],[long code]],"security_name")</f>
        <v>ORSTED 1 3/4 12/09/19</v>
      </c>
      <c r="G22" s="8" cm="1">
        <f t="array" ref="G22">_xll.BDP(curve[[#This Row],[short code]],"nxt_call_dt")*1</f>
        <v>45103</v>
      </c>
      <c r="H22" s="8" cm="1">
        <f t="array" ref="H22">_xll.BDP(curve[[#This Row],[long code]],"nxt_call_dt")*1</f>
        <v>46639</v>
      </c>
      <c r="I22" s="17">
        <f>(curve[[#This Row],[long date]]-curve[[#This Row],[short date]])/365</f>
        <v>4.2082191780821914</v>
      </c>
      <c r="J22" s="12" t="s">
        <v>35</v>
      </c>
      <c r="K22" s="18" cm="1">
        <f t="array" ref="K22">_xll.BDP(curve[[#This Row],[short code]],curve[[#This Row],[spread measure]])</f>
        <v>183.46531881143321</v>
      </c>
      <c r="L22" s="18" cm="1">
        <f t="array" ref="L22">_xll.BDP(curve[[#This Row],[long code]],curve[[#This Row],[spread measure]])</f>
        <v>222.71464122437737</v>
      </c>
      <c r="M22" s="18">
        <f>curve[[#This Row],[long spread]]-curve[[#This Row],[short spread]]</f>
        <v>39.249322412944167</v>
      </c>
      <c r="N22" s="18">
        <f>curve[[#This Row],[curve]]/curve[[#This Row],[years]]</f>
        <v>9.3268246619300932</v>
      </c>
      <c r="O22" s="5" t="str" cm="1">
        <f t="array" ref="O22">_xll.BDP(curve[[#This Row],[short code]],"bb_composite")</f>
        <v>BB+</v>
      </c>
      <c r="P22" s="5" t="str" cm="1">
        <f t="array" ref="P22">_xll.BDP(curve[[#This Row],[long code]],"bb_composite")</f>
        <v>BB+</v>
      </c>
      <c r="Q22" s="5" t="str" cm="1">
        <f t="array" ref="Q22">_xll.BDP(curve[[#This Row],[short code]],"crncy")</f>
        <v>EUR</v>
      </c>
      <c r="R22" s="5" t="str" cm="1">
        <f t="array" ref="R22">_xll.BDP(curve[[#This Row],[long code]],"crncy")</f>
        <v>EUR</v>
      </c>
      <c r="S22" s="5" t="str">
        <f>INDEX(tkrBBG!AA:AA,MATCH(curve[[#This Row],[ticker]],tkrBBG!Z:Z,0))</f>
        <v>UTILS</v>
      </c>
      <c r="T22" s="12" t="s">
        <v>36</v>
      </c>
      <c r="U22" s="18" cm="1">
        <f t="array" aca="1" ref="U22" ca="1">_xll.BDH(curve[[#This Row],[short code]],curve[[#This Row],[hist spread measure]],$V$2)</f>
        <v>168.614</v>
      </c>
      <c r="V22" s="18" cm="1">
        <f t="array" aca="1" ref="V22" ca="1">_xll.BDH(curve[[#This Row],[long code]],curve[[#This Row],[hist spread measure]],$V$2)</f>
        <v>211.67</v>
      </c>
      <c r="W22" s="18">
        <f ca="1">IFERROR(curve[[#This Row],[long Spread (14d)]]-curve[[#This Row],[short Spread (14d)]],"-")</f>
        <v>43.055999999999983</v>
      </c>
      <c r="X22" s="18">
        <f ca="1">IFERROR(curve[[#This Row],[curve (14d)]]/curve[[#This Row],[years]],"-")</f>
        <v>10.231406249999997</v>
      </c>
      <c r="Y22" s="18">
        <f ca="1">IFERROR(curve[[#This Row],[curve per year]]-curve[[#This Row],[curve per year (14d)]],"-")</f>
        <v>-0.90458158806990419</v>
      </c>
      <c r="Z22" s="18" cm="1">
        <f t="array" aca="1" ref="Z22" ca="1">_xll.BDH(curve[[#This Row],[short code]],curve[[#This Row],[hist spread measure]],$AA$2)</f>
        <v>167.32300000000001</v>
      </c>
      <c r="AA22" s="18" cm="1">
        <f t="array" aca="1" ref="AA22" ca="1">_xll.BDH(curve[[#This Row],[long code]],curve[[#This Row],[hist spread measure]],$AA$2)</f>
        <v>210.828</v>
      </c>
      <c r="AB22" s="18">
        <f ca="1">IFERROR(curve[[#This Row],[long spread (30d)]]-curve[[#This Row],[short spread (30d)]],"-")</f>
        <v>43.504999999999995</v>
      </c>
      <c r="AC22" s="18">
        <f ca="1">IFERROR(curve[[#This Row],[curve (30d)]]/curve[[#This Row],[years]],"-")</f>
        <v>10.338102213541667</v>
      </c>
      <c r="AD22" s="18">
        <f ca="1">IFERROR(curve[[#This Row],[curve per year]]-curve[[#This Row],[curve per year (30d)]],"-")</f>
        <v>-1.011277551611574</v>
      </c>
      <c r="AE22" s="18" cm="1">
        <f t="array" ref="AE22">_xll.BDP(curve[[#This Row],[short code]],"interval_avg","calc_interval=30d","market_data_override=sp210")</f>
        <v>168.78186206896558</v>
      </c>
      <c r="AF22" s="18" cm="1">
        <f t="array" ref="AF22">_xll.BDP(curve[[#This Row],[short code]],"interval_avg","calc_interval=90d","market_data_override=sp210")</f>
        <v>220.87402325581391</v>
      </c>
      <c r="AG22" s="18" cm="1">
        <f t="array" ref="AG22">_xll.BDP(curve[[#This Row],[short code]],"interval_std_dev","calc_interval=30d","market_data_override=sp210")</f>
        <v>10.028668244887248</v>
      </c>
    </row>
    <row r="23" spans="2:33" x14ac:dyDescent="0.25">
      <c r="B23" s="11" t="s">
        <v>91</v>
      </c>
      <c r="C23" s="12" t="s">
        <v>92</v>
      </c>
      <c r="D23" s="12" t="s">
        <v>93</v>
      </c>
      <c r="E23" s="5" t="str" cm="1">
        <f t="array" ref="E23">_xll.BDP(curve[[#This Row],[short code]],"security_name")</f>
        <v>TELIAS 3 04/04/78</v>
      </c>
      <c r="F23" s="5" t="str" cm="1">
        <f t="array" ref="F23">_xll.BDP(curve[[#This Row],[long code]],"security_name")</f>
        <v>TELIAS 1 3/8 05/11/81</v>
      </c>
      <c r="G23" s="8" cm="1">
        <f t="array" ref="G23">_xll.BDP(curve[[#This Row],[short code]],"nxt_call_dt")*1</f>
        <v>45020</v>
      </c>
      <c r="H23" s="8" cm="1">
        <f t="array" ref="H23">_xll.BDP(curve[[#This Row],[long code]],"nxt_call_dt")*1</f>
        <v>46064</v>
      </c>
      <c r="I23" s="17">
        <f>(curve[[#This Row],[long date]]-curve[[#This Row],[short date]])/365</f>
        <v>2.8602739726027395</v>
      </c>
      <c r="J23" s="12" t="s">
        <v>35</v>
      </c>
      <c r="K23" s="18" cm="1">
        <f t="array" ref="K23">_xll.BDP(curve[[#This Row],[short code]],curve[[#This Row],[spread measure]])</f>
        <v>240.20340281253283</v>
      </c>
      <c r="L23" s="18" cm="1">
        <f t="array" ref="L23">_xll.BDP(curve[[#This Row],[long code]],curve[[#This Row],[spread measure]])</f>
        <v>266.8804363749901</v>
      </c>
      <c r="M23" s="18">
        <f>curve[[#This Row],[long spread]]-curve[[#This Row],[short spread]]</f>
        <v>26.677033562457268</v>
      </c>
      <c r="N23" s="18">
        <f>curve[[#This Row],[curve]]/curve[[#This Row],[years]]</f>
        <v>9.3267406612039299</v>
      </c>
      <c r="O23" s="5" t="str" cm="1">
        <f t="array" ref="O23">_xll.BDP(curve[[#This Row],[short code]],"bb_composite")</f>
        <v>BBB-</v>
      </c>
      <c r="P23" s="5" t="str" cm="1">
        <f t="array" ref="P23">_xll.BDP(curve[[#This Row],[long code]],"bb_composite")</f>
        <v>BBB-</v>
      </c>
      <c r="Q23" s="5" t="str" cm="1">
        <f t="array" ref="Q23">_xll.BDP(curve[[#This Row],[short code]],"crncy")</f>
        <v>EUR</v>
      </c>
      <c r="R23" s="5" t="str" cm="1">
        <f t="array" ref="R23">_xll.BDP(curve[[#This Row],[long code]],"crncy")</f>
        <v>EUR</v>
      </c>
      <c r="S23" s="5" t="str">
        <f>INDEX(tkrBBG!AA:AA,MATCH(curve[[#This Row],[ticker]],tkrBBG!Z:Z,0))</f>
        <v>TMT/ AUTO</v>
      </c>
      <c r="T23" s="12" t="s">
        <v>36</v>
      </c>
      <c r="U23" s="18" cm="1">
        <f t="array" aca="1" ref="U23" ca="1">_xll.BDH(curve[[#This Row],[short code]],curve[[#This Row],[hist spread measure]],$V$2)</f>
        <v>245.27600000000001</v>
      </c>
      <c r="V23" s="18" cm="1">
        <f t="array" aca="1" ref="V23" ca="1">_xll.BDH(curve[[#This Row],[long code]],curve[[#This Row],[hist spread measure]],$V$2)</f>
        <v>267.03399999999999</v>
      </c>
      <c r="W23" s="18">
        <f ca="1">IFERROR(curve[[#This Row],[long Spread (14d)]]-curve[[#This Row],[short Spread (14d)]],"-")</f>
        <v>21.757999999999981</v>
      </c>
      <c r="X23" s="18">
        <f ca="1">IFERROR(curve[[#This Row],[curve (14d)]]/curve[[#This Row],[years]],"-")</f>
        <v>7.606963601532561</v>
      </c>
      <c r="Y23" s="18">
        <f ca="1">IFERROR(curve[[#This Row],[curve per year]]-curve[[#This Row],[curve per year (14d)]],"-")</f>
        <v>1.7197770596713688</v>
      </c>
      <c r="Z23" s="18" cm="1">
        <f t="array" aca="1" ref="Z23" ca="1">_xll.BDH(curve[[#This Row],[short code]],curve[[#This Row],[hist spread measure]],$AA$2)</f>
        <v>217.92400000000001</v>
      </c>
      <c r="AA23" s="18" cm="1">
        <f t="array" aca="1" ref="AA23" ca="1">_xll.BDH(curve[[#This Row],[long code]],curve[[#This Row],[hist spread measure]],$AA$2)</f>
        <v>266.15600000000001</v>
      </c>
      <c r="AB23" s="18">
        <f ca="1">IFERROR(curve[[#This Row],[long spread (30d)]]-curve[[#This Row],[short spread (30d)]],"-")</f>
        <v>48.231999999999999</v>
      </c>
      <c r="AC23" s="18">
        <f ca="1">IFERROR(curve[[#This Row],[curve (30d)]]/curve[[#This Row],[years]],"-")</f>
        <v>16.86272030651341</v>
      </c>
      <c r="AD23" s="18">
        <f ca="1">IFERROR(curve[[#This Row],[curve per year]]-curve[[#This Row],[curve per year (30d)]],"-")</f>
        <v>-7.5359796453094798</v>
      </c>
      <c r="AE23" s="18" cm="1">
        <f t="array" ref="AE23">_xll.BDP(curve[[#This Row],[short code]],"interval_avg","calc_interval=30d","market_data_override=sp210")</f>
        <v>229.83137931034489</v>
      </c>
      <c r="AF23" s="18" cm="1">
        <f t="array" ref="AF23">_xll.BDP(curve[[#This Row],[short code]],"interval_avg","calc_interval=90d","market_data_override=sp210")</f>
        <v>283.89934883720923</v>
      </c>
      <c r="AG23" s="18" cm="1">
        <f t="array" ref="AG23">_xll.BDP(curve[[#This Row],[short code]],"interval_std_dev","calc_interval=30d","market_data_override=sp210")</f>
        <v>22.844172669591867</v>
      </c>
    </row>
    <row r="24" spans="2:33" x14ac:dyDescent="0.25">
      <c r="B24" s="11" t="s">
        <v>94</v>
      </c>
      <c r="C24" s="12" t="s">
        <v>95</v>
      </c>
      <c r="D24" s="12" t="s">
        <v>96</v>
      </c>
      <c r="E24" s="5" t="str" cm="1">
        <f t="array" ref="E24">_xll.BDP(curve[[#This Row],[short code]],"security_name")</f>
        <v>ENBW 1 1/8 11/05/79</v>
      </c>
      <c r="F24" s="5" t="str" cm="1">
        <f t="array" ref="F24">_xll.BDP(curve[[#This Row],[long code]],"security_name")</f>
        <v>ENBW 1 5/8 08/05/79</v>
      </c>
      <c r="G24" s="8" cm="1">
        <f t="array" ref="G24">_xll.BDP(curve[[#This Row],[short code]],"nxt_call_dt")*1</f>
        <v>45509</v>
      </c>
      <c r="H24" s="8" cm="1">
        <f t="array" ref="H24">_xll.BDP(curve[[#This Row],[long code]],"nxt_call_dt")*1</f>
        <v>46512</v>
      </c>
      <c r="I24" s="17">
        <f>(curve[[#This Row],[long date]]-curve[[#This Row],[short date]])/365</f>
        <v>2.7479452054794522</v>
      </c>
      <c r="J24" s="12" t="s">
        <v>35</v>
      </c>
      <c r="K24" s="18" cm="1">
        <f t="array" ref="K24">_xll.BDP(curve[[#This Row],[short code]],curve[[#This Row],[spread measure]])</f>
        <v>210.05202425278085</v>
      </c>
      <c r="L24" s="18" cm="1">
        <f t="array" ref="L24">_xll.BDP(curve[[#This Row],[long code]],curve[[#This Row],[spread measure]])</f>
        <v>232.76921308114501</v>
      </c>
      <c r="M24" s="18">
        <f>curve[[#This Row],[long spread]]-curve[[#This Row],[short spread]]</f>
        <v>22.717188828364158</v>
      </c>
      <c r="N24" s="18">
        <f>curve[[#This Row],[curve]]/curve[[#This Row],[years]]</f>
        <v>8.2669730033428888</v>
      </c>
      <c r="O24" s="5" t="str" cm="1">
        <f t="array" ref="O24">_xll.BDP(curve[[#This Row],[short code]],"bb_composite")</f>
        <v>BBB-</v>
      </c>
      <c r="P24" s="5" t="str" cm="1">
        <f t="array" ref="P24">_xll.BDP(curve[[#This Row],[long code]],"bb_composite")</f>
        <v>BBB-</v>
      </c>
      <c r="Q24" s="5" t="str" cm="1">
        <f t="array" ref="Q24">_xll.BDP(curve[[#This Row],[short code]],"crncy")</f>
        <v>EUR</v>
      </c>
      <c r="R24" s="5" t="str" cm="1">
        <f t="array" ref="R24">_xll.BDP(curve[[#This Row],[long code]],"crncy")</f>
        <v>EUR</v>
      </c>
      <c r="S24" s="5" t="str">
        <f>INDEX(tkrBBG!AA:AA,MATCH(curve[[#This Row],[ticker]],tkrBBG!Z:Z,0))</f>
        <v>UTILS</v>
      </c>
      <c r="T24" s="12" t="s">
        <v>36</v>
      </c>
      <c r="U24" s="18" cm="1">
        <f t="array" aca="1" ref="U24" ca="1">_xll.BDH(curve[[#This Row],[short code]],curve[[#This Row],[hist spread measure]],$V$2)</f>
        <v>195.86600000000001</v>
      </c>
      <c r="V24" s="18" cm="1">
        <f t="array" aca="1" ref="V24" ca="1">_xll.BDH(curve[[#This Row],[long code]],curve[[#This Row],[hist spread measure]],$V$2)</f>
        <v>221.66</v>
      </c>
      <c r="W24" s="18">
        <f ca="1">IFERROR(curve[[#This Row],[long Spread (14d)]]-curve[[#This Row],[short Spread (14d)]],"-")</f>
        <v>25.793999999999983</v>
      </c>
      <c r="X24" s="18">
        <f ca="1">IFERROR(curve[[#This Row],[curve (14d)]]/curve[[#This Row],[years]],"-")</f>
        <v>9.3866500498504415</v>
      </c>
      <c r="Y24" s="18">
        <f ca="1">IFERROR(curve[[#This Row],[curve per year]]-curve[[#This Row],[curve per year (14d)]],"-")</f>
        <v>-1.1196770465075527</v>
      </c>
      <c r="Z24" s="18" cm="1">
        <f t="array" aca="1" ref="Z24" ca="1">_xll.BDH(curve[[#This Row],[short code]],curve[[#This Row],[hist spread measure]],$AA$2)</f>
        <v>213.63</v>
      </c>
      <c r="AA24" s="18" cm="1">
        <f t="array" aca="1" ref="AA24" ca="1">_xll.BDH(curve[[#This Row],[long code]],curve[[#This Row],[hist spread measure]],$AA$2)</f>
        <v>236.196</v>
      </c>
      <c r="AB24" s="18">
        <f ca="1">IFERROR(curve[[#This Row],[long spread (30d)]]-curve[[#This Row],[short spread (30d)]],"-")</f>
        <v>22.566000000000003</v>
      </c>
      <c r="AC24" s="18">
        <f ca="1">IFERROR(curve[[#This Row],[curve (30d)]]/curve[[#This Row],[years]],"-")</f>
        <v>8.211954137587238</v>
      </c>
      <c r="AD24" s="18">
        <f ca="1">IFERROR(curve[[#This Row],[curve per year]]-curve[[#This Row],[curve per year (30d)]],"-")</f>
        <v>5.5018865755650737E-2</v>
      </c>
      <c r="AE24" s="18" cm="1">
        <f t="array" ref="AE24">_xll.BDP(curve[[#This Row],[short code]],"interval_avg","calc_interval=30d","market_data_override=sp210")</f>
        <v>201.98927586206895</v>
      </c>
      <c r="AF24" s="18" cm="1">
        <f t="array" ref="AF24">_xll.BDP(curve[[#This Row],[short code]],"interval_avg","calc_interval=90d","market_data_override=sp210")</f>
        <v>254.25918604651167</v>
      </c>
      <c r="AG24" s="18" cm="1">
        <f t="array" ref="AG24">_xll.BDP(curve[[#This Row],[short code]],"interval_std_dev","calc_interval=30d","market_data_override=sp210")</f>
        <v>14.501117764544297</v>
      </c>
    </row>
    <row r="25" spans="2:33" x14ac:dyDescent="0.25">
      <c r="B25" s="11" t="s">
        <v>97</v>
      </c>
      <c r="C25" s="12" t="s">
        <v>98</v>
      </c>
      <c r="D25" s="12" t="s">
        <v>99</v>
      </c>
      <c r="E25" s="5" t="str" cm="1">
        <f t="array" ref="E25">_xll.BDP(curve[[#This Row],[short code]],"security_name")</f>
        <v>CPIPGR 4 3/8 PERP</v>
      </c>
      <c r="F25" s="5" t="str" cm="1">
        <f t="array" ref="F25">_xll.BDP(curve[[#This Row],[long code]],"security_name")</f>
        <v>CPIPGR 4 7/8 PERP</v>
      </c>
      <c r="G25" s="8" cm="1">
        <f t="array" ref="G25">_xll.BDP(curve[[#This Row],[short code]],"nxt_call_dt")*1</f>
        <v>45147</v>
      </c>
      <c r="H25" s="8" cm="1">
        <f t="array" ref="H25">_xll.BDP(curve[[#This Row],[long code]],"nxt_call_dt")*1</f>
        <v>45854</v>
      </c>
      <c r="I25" s="17">
        <f>(curve[[#This Row],[long date]]-curve[[#This Row],[short date]])/365</f>
        <v>1.9369863013698629</v>
      </c>
      <c r="J25" s="12" t="s">
        <v>35</v>
      </c>
      <c r="K25" s="18" cm="1">
        <f t="array" ref="K25">_xll.BDP(curve[[#This Row],[short code]],curve[[#This Row],[spread measure]])</f>
        <v>540.83480941054268</v>
      </c>
      <c r="L25" s="18" cm="1">
        <f t="array" ref="L25">_xll.BDP(curve[[#This Row],[long code]],curve[[#This Row],[spread measure]])</f>
        <v>554.18657942723155</v>
      </c>
      <c r="M25" s="18">
        <f>curve[[#This Row],[long spread]]-curve[[#This Row],[short spread]]</f>
        <v>13.351770016688874</v>
      </c>
      <c r="N25" s="18">
        <f>curve[[#This Row],[curve]]/curve[[#This Row],[years]]</f>
        <v>6.8930637285593201</v>
      </c>
      <c r="O25" s="5" t="str" cm="1">
        <f t="array" ref="O25">_xll.BDP(curve[[#This Row],[short code]],"bb_composite")</f>
        <v>BB+</v>
      </c>
      <c r="P25" s="5" t="str" cm="1">
        <f t="array" ref="P25">_xll.BDP(curve[[#This Row],[long code]],"bb_composite")</f>
        <v>BB+</v>
      </c>
      <c r="Q25" s="5" t="str" cm="1">
        <f t="array" ref="Q25">_xll.BDP(curve[[#This Row],[short code]],"crncy")</f>
        <v>EUR</v>
      </c>
      <c r="R25" s="5" t="str" cm="1">
        <f t="array" ref="R25">_xll.BDP(curve[[#This Row],[long code]],"crncy")</f>
        <v>EUR</v>
      </c>
      <c r="S25" s="5" t="str">
        <f>INDEX(tkrBBG!AA:AA,MATCH(curve[[#This Row],[ticker]],tkrBBG!Z:Z,0))</f>
        <v>REIT</v>
      </c>
      <c r="T25" s="12" t="s">
        <v>36</v>
      </c>
      <c r="U25" s="18" cm="1">
        <f t="array" aca="1" ref="U25" ca="1">_xll.BDH(curve[[#This Row],[short code]],curve[[#This Row],[hist spread measure]],$V$2)</f>
        <v>516.84100000000001</v>
      </c>
      <c r="V25" s="18" cm="1">
        <f t="array" aca="1" ref="V25" ca="1">_xll.BDH(curve[[#This Row],[long code]],curve[[#This Row],[hist spread measure]],$V$2)</f>
        <v>548.11</v>
      </c>
      <c r="W25" s="18">
        <f ca="1">IFERROR(curve[[#This Row],[long Spread (14d)]]-curve[[#This Row],[short Spread (14d)]],"-")</f>
        <v>31.269000000000005</v>
      </c>
      <c r="X25" s="18">
        <f ca="1">IFERROR(curve[[#This Row],[curve (14d)]]/curve[[#This Row],[years]],"-")</f>
        <v>16.143118811881191</v>
      </c>
      <c r="Y25" s="18">
        <f ca="1">IFERROR(curve[[#This Row],[curve per year]]-curve[[#This Row],[curve per year (14d)]],"-")</f>
        <v>-9.2500550833218718</v>
      </c>
      <c r="Z25" s="18" cm="1">
        <f t="array" aca="1" ref="Z25" ca="1">_xll.BDH(curve[[#This Row],[short code]],curve[[#This Row],[hist spread measure]],$AA$2)</f>
        <v>643.06399999999996</v>
      </c>
      <c r="AA25" s="18" cm="1">
        <f t="array" aca="1" ref="AA25" ca="1">_xll.BDH(curve[[#This Row],[long code]],curve[[#This Row],[hist spread measure]],$AA$2)</f>
        <v>654.4</v>
      </c>
      <c r="AB25" s="18">
        <f ca="1">IFERROR(curve[[#This Row],[long spread (30d)]]-curve[[#This Row],[short spread (30d)]],"-")</f>
        <v>11.336000000000013</v>
      </c>
      <c r="AC25" s="18">
        <f ca="1">IFERROR(curve[[#This Row],[curve (30d)]]/curve[[#This Row],[years]],"-")</f>
        <v>5.8523903818953391</v>
      </c>
      <c r="AD25" s="18">
        <f ca="1">IFERROR(curve[[#This Row],[curve per year]]-curve[[#This Row],[curve per year (30d)]],"-")</f>
        <v>1.040673346663981</v>
      </c>
      <c r="AE25" s="18" cm="1">
        <f t="array" ref="AE25">_xll.BDP(curve[[#This Row],[short code]],"interval_avg","calc_interval=30d","market_data_override=sp210")</f>
        <v>561.23071264648445</v>
      </c>
      <c r="AF25" s="18" cm="1">
        <f t="array" ref="AF25">_xll.BDP(curve[[#This Row],[short code]],"interval_avg","calc_interval=90d","market_data_override=sp210")</f>
        <v>642.43386642982239</v>
      </c>
      <c r="AG25" s="18" cm="1">
        <f t="array" ref="AG25">_xll.BDP(curve[[#This Row],[short code]],"interval_std_dev","calc_interval=30d","market_data_override=sp210")</f>
        <v>55.051073767335197</v>
      </c>
    </row>
    <row r="26" spans="2:33" x14ac:dyDescent="0.25">
      <c r="B26" s="11" t="s">
        <v>100</v>
      </c>
      <c r="C26" s="12" t="s">
        <v>101</v>
      </c>
      <c r="D26" s="12" t="s">
        <v>102</v>
      </c>
      <c r="E26" s="5" t="str" cm="1">
        <f t="array" ref="E26">_xll.BDP(curve[[#This Row],[short code]],"security_name")</f>
        <v>ERFFP 2 7/8 PERP</v>
      </c>
      <c r="F26" s="5" t="str" cm="1">
        <f t="array" ref="F26">_xll.BDP(curve[[#This Row],[long code]],"security_name")</f>
        <v>ERFFP 3 1/4 PERP</v>
      </c>
      <c r="G26" s="8" cm="1">
        <f t="array" ref="G26">_xll.BDP(curve[[#This Row],[short code]],"nxt_call_dt")*1</f>
        <v>44784</v>
      </c>
      <c r="H26" s="8" cm="1">
        <f t="array" ref="H26">_xll.BDP(curve[[#This Row],[long code]],"nxt_call_dt")*1</f>
        <v>45974</v>
      </c>
      <c r="I26" s="17">
        <f>(curve[[#This Row],[long date]]-curve[[#This Row],[short date]])/365</f>
        <v>3.2602739726027399</v>
      </c>
      <c r="J26" s="12" t="s">
        <v>35</v>
      </c>
      <c r="K26" s="18" cm="1">
        <f t="array" ref="K26">_xll.BDP(curve[[#This Row],[short code]],curve[[#This Row],[spread measure]])</f>
        <v>423.71405062033693</v>
      </c>
      <c r="L26" s="18" cm="1">
        <f t="array" ref="L26">_xll.BDP(curve[[#This Row],[long code]],curve[[#This Row],[spread measure]])</f>
        <v>433.89597312919426</v>
      </c>
      <c r="M26" s="18">
        <f>curve[[#This Row],[long spread]]-curve[[#This Row],[short spread]]</f>
        <v>10.181922508857326</v>
      </c>
      <c r="N26" s="18">
        <f>curve[[#This Row],[curve]]/curve[[#This Row],[years]]</f>
        <v>3.1230266518764065</v>
      </c>
      <c r="O26" s="5" t="str" cm="1">
        <f t="array" ref="O26">_xll.BDP(curve[[#This Row],[short code]],"bb_composite")</f>
        <v>#N/A N/A</v>
      </c>
      <c r="P26" s="5" t="str" cm="1">
        <f t="array" ref="P26">_xll.BDP(curve[[#This Row],[long code]],"bb_composite")</f>
        <v>#N/A N/A</v>
      </c>
      <c r="Q26" s="5" t="str" cm="1">
        <f t="array" ref="Q26">_xll.BDP(curve[[#This Row],[short code]],"crncy")</f>
        <v>EUR</v>
      </c>
      <c r="R26" s="5" t="str" cm="1">
        <f t="array" ref="R26">_xll.BDP(curve[[#This Row],[long code]],"crncy")</f>
        <v>EUR</v>
      </c>
      <c r="S26" s="5" t="str">
        <f>INDEX(tkrBBG!AA:AA,MATCH(curve[[#This Row],[ticker]],tkrBBG!Z:Z,0))</f>
        <v>missing</v>
      </c>
      <c r="T26" s="12" t="s">
        <v>36</v>
      </c>
      <c r="U26" s="18" cm="1">
        <f t="array" aca="1" ref="U26" ca="1">_xll.BDH(curve[[#This Row],[short code]],curve[[#This Row],[hist spread measure]],$V$2)</f>
        <v>440.90699999999998</v>
      </c>
      <c r="V26" s="18" cm="1">
        <f t="array" aca="1" ref="V26" ca="1">_xll.BDH(curve[[#This Row],[long code]],curve[[#This Row],[hist spread measure]],$V$2)</f>
        <v>447.87900000000002</v>
      </c>
      <c r="W26" s="18">
        <f ca="1">IFERROR(curve[[#This Row],[long Spread (14d)]]-curve[[#This Row],[short Spread (14d)]],"-")</f>
        <v>6.9720000000000368</v>
      </c>
      <c r="X26" s="18">
        <f ca="1">IFERROR(curve[[#This Row],[curve (14d)]]/curve[[#This Row],[years]],"-")</f>
        <v>2.1384705882353052</v>
      </c>
      <c r="Y26" s="18">
        <f ca="1">IFERROR(curve[[#This Row],[curve per year]]-curve[[#This Row],[curve per year (14d)]],"-")</f>
        <v>0.98455606364110126</v>
      </c>
      <c r="Z26" s="18" cm="1">
        <f t="array" aca="1" ref="Z26" ca="1">_xll.BDH(curve[[#This Row],[short code]],curve[[#This Row],[hist spread measure]],$AA$2)</f>
        <v>485.584</v>
      </c>
      <c r="AA26" s="18" cm="1">
        <f t="array" aca="1" ref="AA26" ca="1">_xll.BDH(curve[[#This Row],[long code]],curve[[#This Row],[hist spread measure]],$AA$2)</f>
        <v>483.54300000000001</v>
      </c>
      <c r="AB26" s="18">
        <f ca="1">IFERROR(curve[[#This Row],[long spread (30d)]]-curve[[#This Row],[short spread (30d)]],"-")</f>
        <v>-2.0409999999999968</v>
      </c>
      <c r="AC26" s="18">
        <f ca="1">IFERROR(curve[[#This Row],[curve (30d)]]/curve[[#This Row],[years]],"-")</f>
        <v>-0.62602100840336039</v>
      </c>
      <c r="AD26" s="18">
        <f ca="1">IFERROR(curve[[#This Row],[curve per year]]-curve[[#This Row],[curve per year (30d)]],"-")</f>
        <v>3.7490476602797669</v>
      </c>
      <c r="AE26" s="18" cm="1">
        <f t="array" ref="AE26">_xll.BDP(curve[[#This Row],[short code]],"interval_avg","calc_interval=30d","market_data_override=sp210")</f>
        <v>451.91256112467437</v>
      </c>
      <c r="AF26" s="18" cm="1">
        <f t="array" ref="AF26">_xll.BDP(curve[[#This Row],[short code]],"interval_avg","calc_interval=90d","market_data_override=sp210")</f>
        <v>516.13452811735249</v>
      </c>
      <c r="AG26" s="18" cm="1">
        <f t="array" ref="AG26">_xll.BDP(curve[[#This Row],[short code]],"interval_std_dev","calc_interval=30d","market_data_override=sp210")</f>
        <v>28.918601267702833</v>
      </c>
    </row>
    <row r="27" spans="2:33" x14ac:dyDescent="0.25">
      <c r="B27" s="11" t="s">
        <v>103</v>
      </c>
      <c r="C27" s="12" t="s">
        <v>104</v>
      </c>
      <c r="D27" s="12" t="s">
        <v>105</v>
      </c>
      <c r="E27" s="5" t="str" cm="1">
        <f t="array" ref="E27">_xll.BDP(curve[[#This Row],[short code]],"security_name")</f>
        <v>IFXGR 2 7/8 PERP</v>
      </c>
      <c r="F27" s="5" t="str" cm="1">
        <f t="array" ref="F27">_xll.BDP(curve[[#This Row],[long code]],"security_name")</f>
        <v>IFXGR 3 5/8 PERP</v>
      </c>
      <c r="G27" s="8" cm="1">
        <f t="array" ref="G27">_xll.BDP(curve[[#This Row],[short code]],"nxt_call_dt")*1</f>
        <v>45658</v>
      </c>
      <c r="H27" s="8" cm="1">
        <f t="array" ref="H27">_xll.BDP(curve[[#This Row],[long code]],"nxt_call_dt")*1</f>
        <v>46753</v>
      </c>
      <c r="I27" s="17">
        <f>(curve[[#This Row],[long date]]-curve[[#This Row],[short date]])/365</f>
        <v>3</v>
      </c>
      <c r="J27" s="12" t="s">
        <v>35</v>
      </c>
      <c r="K27" s="18" cm="1">
        <f t="array" ref="K27">_xll.BDP(curve[[#This Row],[short code]],curve[[#This Row],[spread measure]])</f>
        <v>354.15760111662445</v>
      </c>
      <c r="L27" s="18" cm="1">
        <f t="array" ref="L27">_xll.BDP(curve[[#This Row],[long code]],curve[[#This Row],[spread measure]])</f>
        <v>377.56035631161535</v>
      </c>
      <c r="M27" s="18">
        <f>curve[[#This Row],[long spread]]-curve[[#This Row],[short spread]]</f>
        <v>23.402755194990903</v>
      </c>
      <c r="N27" s="18">
        <f>curve[[#This Row],[curve]]/curve[[#This Row],[years]]</f>
        <v>7.8009183983303005</v>
      </c>
      <c r="O27" s="5" t="str" cm="1">
        <f t="array" ref="O27">_xll.BDP(curve[[#This Row],[short code]],"bb_composite")</f>
        <v>NR</v>
      </c>
      <c r="P27" s="5" t="str" cm="1">
        <f t="array" ref="P27">_xll.BDP(curve[[#This Row],[long code]],"bb_composite")</f>
        <v>NR</v>
      </c>
      <c r="Q27" s="5" t="str" cm="1">
        <f t="array" ref="Q27">_xll.BDP(curve[[#This Row],[short code]],"crncy")</f>
        <v>EUR</v>
      </c>
      <c r="R27" s="5" t="str" cm="1">
        <f t="array" ref="R27">_xll.BDP(curve[[#This Row],[long code]],"crncy")</f>
        <v>EUR</v>
      </c>
      <c r="S27" s="5" t="str">
        <f>INDEX(tkrBBG!AA:AA,MATCH(curve[[#This Row],[ticker]],tkrBBG!Z:Z,0))</f>
        <v>TMT/ AUTO</v>
      </c>
      <c r="T27" s="12" t="s">
        <v>36</v>
      </c>
      <c r="U27" s="18" cm="1">
        <f t="array" aca="1" ref="U27" ca="1">_xll.BDH(curve[[#This Row],[short code]],curve[[#This Row],[hist spread measure]],$V$2)</f>
        <v>377.31799999999998</v>
      </c>
      <c r="V27" s="18" cm="1">
        <f t="array" aca="1" ref="V27" ca="1">_xll.BDH(curve[[#This Row],[long code]],curve[[#This Row],[hist spread measure]],$V$2)</f>
        <v>388.26799999999997</v>
      </c>
      <c r="W27" s="18">
        <f ca="1">IFERROR(curve[[#This Row],[long Spread (14d)]]-curve[[#This Row],[short Spread (14d)]],"-")</f>
        <v>10.949999999999989</v>
      </c>
      <c r="X27" s="18">
        <f ca="1">IFERROR(curve[[#This Row],[curve (14d)]]/curve[[#This Row],[years]],"-")</f>
        <v>3.6499999999999964</v>
      </c>
      <c r="Y27" s="18">
        <f ca="1">IFERROR(curve[[#This Row],[curve per year]]-curve[[#This Row],[curve per year (14d)]],"-")</f>
        <v>4.1509183983303046</v>
      </c>
      <c r="Z27" s="18" cm="1">
        <f t="array" aca="1" ref="Z27" ca="1">_xll.BDH(curve[[#This Row],[short code]],curve[[#This Row],[hist spread measure]],$AA$2)</f>
        <v>355.19299999999998</v>
      </c>
      <c r="AA27" s="18" cm="1">
        <f t="array" aca="1" ref="AA27" ca="1">_xll.BDH(curve[[#This Row],[long code]],curve[[#This Row],[hist spread measure]],$AA$2)</f>
        <v>396.697</v>
      </c>
      <c r="AB27" s="18">
        <f ca="1">IFERROR(curve[[#This Row],[long spread (30d)]]-curve[[#This Row],[short spread (30d)]],"-")</f>
        <v>41.504000000000019</v>
      </c>
      <c r="AC27" s="18">
        <f ca="1">IFERROR(curve[[#This Row],[curve (30d)]]/curve[[#This Row],[years]],"-")</f>
        <v>13.834666666666672</v>
      </c>
      <c r="AD27" s="18">
        <f ca="1">IFERROR(curve[[#This Row],[curve per year]]-curve[[#This Row],[curve per year (30d)]],"-")</f>
        <v>-6.0337482683363719</v>
      </c>
      <c r="AE27" s="18" cm="1">
        <f t="array" ref="AE27">_xll.BDP(curve[[#This Row],[short code]],"interval_avg","calc_interval=30d","market_data_override=sp210")</f>
        <v>362.98131034482753</v>
      </c>
      <c r="AF27" s="18" cm="1">
        <f t="array" ref="AF27">_xll.BDP(curve[[#This Row],[short code]],"interval_avg","calc_interval=90d","market_data_override=sp210")</f>
        <v>417.73686046511619</v>
      </c>
      <c r="AG27" s="18" cm="1">
        <f t="array" ref="AG27">_xll.BDP(curve[[#This Row],[short code]],"interval_std_dev","calc_interval=30d","market_data_override=sp210")</f>
        <v>30.690809389903507</v>
      </c>
    </row>
    <row r="28" spans="2:33" x14ac:dyDescent="0.25">
      <c r="B28" s="11" t="s">
        <v>106</v>
      </c>
      <c r="C28" s="12" t="s">
        <v>107</v>
      </c>
      <c r="D28" s="12" t="s">
        <v>108</v>
      </c>
      <c r="E28" s="5" t="str" cm="1">
        <f t="array" ref="E28">_xll.BDP(curve[[#This Row],[short code]],"security_name")</f>
        <v>TOTAL 2.708 PERP</v>
      </c>
      <c r="F28" s="5" t="str" cm="1">
        <f t="array" ref="F28">_xll.BDP(curve[[#This Row],[long code]],"security_name")</f>
        <v>TOTAL 3.369 PERP</v>
      </c>
      <c r="G28" s="8" cm="1">
        <f t="array" ref="G28">_xll.BDP(curve[[#This Row],[short code]],"nxt_call_dt")*1</f>
        <v>45051</v>
      </c>
      <c r="H28" s="8" cm="1">
        <f t="array" ref="H28">_xll.BDP(curve[[#This Row],[long code]],"nxt_call_dt")*1</f>
        <v>46301</v>
      </c>
      <c r="I28" s="17">
        <f>(curve[[#This Row],[long date]]-curve[[#This Row],[short date]])/365</f>
        <v>3.4246575342465753</v>
      </c>
      <c r="J28" s="12" t="s">
        <v>35</v>
      </c>
      <c r="K28" s="18" cm="1">
        <f t="array" ref="K28">_xll.BDP(curve[[#This Row],[short code]],curve[[#This Row],[spread measure]])</f>
        <v>212.14032647646678</v>
      </c>
      <c r="L28" s="18" cm="1">
        <f t="array" ref="L28">_xll.BDP(curve[[#This Row],[long code]],curve[[#This Row],[spread measure]])</f>
        <v>236.96130881618359</v>
      </c>
      <c r="M28" s="18">
        <f>curve[[#This Row],[long spread]]-curve[[#This Row],[short spread]]</f>
        <v>24.820982339716807</v>
      </c>
      <c r="N28" s="18">
        <f>curve[[#This Row],[curve]]/curve[[#This Row],[years]]</f>
        <v>7.2477268431973076</v>
      </c>
      <c r="O28" s="5" t="str" cm="1">
        <f t="array" ref="O28">_xll.BDP(curve[[#This Row],[short code]],"bb_composite")</f>
        <v>A-</v>
      </c>
      <c r="P28" s="5" t="str" cm="1">
        <f t="array" ref="P28">_xll.BDP(curve[[#This Row],[long code]],"bb_composite")</f>
        <v>A-</v>
      </c>
      <c r="Q28" s="5" t="str" cm="1">
        <f t="array" ref="Q28">_xll.BDP(curve[[#This Row],[short code]],"crncy")</f>
        <v>EUR</v>
      </c>
      <c r="R28" s="5" t="str" cm="1">
        <f t="array" ref="R28">_xll.BDP(curve[[#This Row],[long code]],"crncy")</f>
        <v>EUR</v>
      </c>
      <c r="S28" s="5" t="str">
        <f>INDEX(tkrBBG!AA:AA,MATCH(curve[[#This Row],[ticker]],tkrBBG!Z:Z,0))</f>
        <v>Energy</v>
      </c>
      <c r="T28" s="12" t="s">
        <v>36</v>
      </c>
      <c r="U28" s="18" cm="1">
        <f t="array" aca="1" ref="U28" ca="1">_xll.BDH(curve[[#This Row],[short code]],curve[[#This Row],[hist spread measure]],$V$2)</f>
        <v>232.02</v>
      </c>
      <c r="V28" s="18" cm="1">
        <f t="array" aca="1" ref="V28" ca="1">_xll.BDH(curve[[#This Row],[long code]],curve[[#This Row],[hist spread measure]],$V$2)</f>
        <v>240.33600000000001</v>
      </c>
      <c r="W28" s="18">
        <f ca="1">IFERROR(curve[[#This Row],[long Spread (14d)]]-curve[[#This Row],[short Spread (14d)]],"-")</f>
        <v>8.3160000000000025</v>
      </c>
      <c r="X28" s="18">
        <f ca="1">IFERROR(curve[[#This Row],[curve (14d)]]/curve[[#This Row],[years]],"-")</f>
        <v>2.4282720000000007</v>
      </c>
      <c r="Y28" s="18">
        <f ca="1">IFERROR(curve[[#This Row],[curve per year]]-curve[[#This Row],[curve per year (14d)]],"-")</f>
        <v>4.819454843197307</v>
      </c>
      <c r="Z28" s="18" cm="1">
        <f t="array" aca="1" ref="Z28" ca="1">_xll.BDH(curve[[#This Row],[short code]],curve[[#This Row],[hist spread measure]],$AA$2)</f>
        <v>191.80099999999999</v>
      </c>
      <c r="AA28" s="18" cm="1">
        <f t="array" aca="1" ref="AA28" ca="1">_xll.BDH(curve[[#This Row],[long code]],curve[[#This Row],[hist spread measure]],$AA$2)</f>
        <v>224.398</v>
      </c>
      <c r="AB28" s="18">
        <f ca="1">IFERROR(curve[[#This Row],[long spread (30d)]]-curve[[#This Row],[short spread (30d)]],"-")</f>
        <v>32.597000000000008</v>
      </c>
      <c r="AC28" s="18">
        <f ca="1">IFERROR(curve[[#This Row],[curve (30d)]]/curve[[#This Row],[years]],"-")</f>
        <v>9.5183240000000033</v>
      </c>
      <c r="AD28" s="18">
        <f ca="1">IFERROR(curve[[#This Row],[curve per year]]-curve[[#This Row],[curve per year (30d)]],"-")</f>
        <v>-2.2705971568026957</v>
      </c>
      <c r="AE28" s="18" cm="1">
        <f t="array" ref="AE28">_xll.BDP(curve[[#This Row],[short code]],"interval_avg","calc_interval=30d","market_data_override=sp210")</f>
        <v>203.99934482758619</v>
      </c>
      <c r="AF28" s="18" cm="1">
        <f t="array" ref="AF28">_xll.BDP(curve[[#This Row],[short code]],"interval_avg","calc_interval=90d","market_data_override=sp210")</f>
        <v>265.84559302325596</v>
      </c>
      <c r="AG28" s="18" cm="1">
        <f t="array" ref="AG28">_xll.BDP(curve[[#This Row],[short code]],"interval_std_dev","calc_interval=30d","market_data_override=sp210")</f>
        <v>32.322333026955512</v>
      </c>
    </row>
    <row r="29" spans="2:33" x14ac:dyDescent="0.25">
      <c r="B29" s="11" t="s">
        <v>109</v>
      </c>
      <c r="C29" s="12" t="s">
        <v>110</v>
      </c>
      <c r="D29" s="12" t="s">
        <v>111</v>
      </c>
      <c r="E29" s="5" t="str" cm="1">
        <f t="array" ref="E29">_xll.BDP(curve[[#This Row],[short code]],"security_name")</f>
        <v>DBHNGR 0.95 PERP</v>
      </c>
      <c r="F29" s="5" t="str" cm="1">
        <f t="array" ref="F29">_xll.BDP(curve[[#This Row],[long code]],"security_name")</f>
        <v>DBHNGR 1.6 PERP</v>
      </c>
      <c r="G29" s="8" cm="1">
        <f t="array" ref="G29">_xll.BDP(curve[[#This Row],[short code]],"nxt_call_dt")*1</f>
        <v>45679</v>
      </c>
      <c r="H29" s="8" cm="1">
        <f t="array" ref="H29">_xll.BDP(curve[[#This Row],[long code]],"nxt_call_dt")*1</f>
        <v>47317</v>
      </c>
      <c r="I29" s="17">
        <f>(curve[[#This Row],[long date]]-curve[[#This Row],[short date]])/365</f>
        <v>4.4876712328767123</v>
      </c>
      <c r="J29" s="12" t="s">
        <v>35</v>
      </c>
      <c r="K29" s="18" cm="1">
        <f t="array" ref="K29">_xll.BDP(curve[[#This Row],[short code]],curve[[#This Row],[spread measure]])</f>
        <v>198.89351830612844</v>
      </c>
      <c r="L29" s="18" cm="1">
        <f t="array" ref="L29">_xll.BDP(curve[[#This Row],[long code]],curve[[#This Row],[spread measure]])</f>
        <v>207.22926965644865</v>
      </c>
      <c r="M29" s="18">
        <f>curve[[#This Row],[long spread]]-curve[[#This Row],[short spread]]</f>
        <v>8.3357513503202085</v>
      </c>
      <c r="N29" s="18">
        <f>curve[[#This Row],[curve]]/curve[[#This Row],[years]]</f>
        <v>1.857478170248398</v>
      </c>
      <c r="O29" s="5" t="str" cm="1">
        <f t="array" ref="O29">_xll.BDP(curve[[#This Row],[short code]],"bb_composite")</f>
        <v>BBB+</v>
      </c>
      <c r="P29" s="5" t="str" cm="1">
        <f t="array" ref="P29">_xll.BDP(curve[[#This Row],[long code]],"bb_composite")</f>
        <v>BBB+</v>
      </c>
      <c r="Q29" s="5" t="str" cm="1">
        <f t="array" ref="Q29">_xll.BDP(curve[[#This Row],[short code]],"crncy")</f>
        <v>EUR</v>
      </c>
      <c r="R29" s="5" t="str" cm="1">
        <f t="array" ref="R29">_xll.BDP(curve[[#This Row],[long code]],"crncy")</f>
        <v>EUR</v>
      </c>
      <c r="S29" s="5" t="str">
        <f>INDEX(tkrBBG!AA:AA,MATCH(curve[[#This Row],[ticker]],tkrBBG!Z:Z,0))</f>
        <v>Low Beta</v>
      </c>
      <c r="T29" s="12" t="s">
        <v>36</v>
      </c>
      <c r="U29" s="18" cm="1">
        <f t="array" aca="1" ref="U29" ca="1">_xll.BDH(curve[[#This Row],[short code]],curve[[#This Row],[hist spread measure]],$V$2)</f>
        <v>189.221</v>
      </c>
      <c r="V29" s="18" cm="1">
        <f t="array" aca="1" ref="V29" ca="1">_xll.BDH(curve[[#This Row],[long code]],curve[[#This Row],[hist spread measure]],$V$2)</f>
        <v>198.1</v>
      </c>
      <c r="W29" s="18">
        <f ca="1">IFERROR(curve[[#This Row],[long Spread (14d)]]-curve[[#This Row],[short Spread (14d)]],"-")</f>
        <v>8.8789999999999907</v>
      </c>
      <c r="X29" s="18">
        <f ca="1">IFERROR(curve[[#This Row],[curve (14d)]]/curve[[#This Row],[years]],"-")</f>
        <v>1.978531746031744</v>
      </c>
      <c r="Y29" s="18">
        <f ca="1">IFERROR(curve[[#This Row],[curve per year]]-curve[[#This Row],[curve per year (14d)]],"-")</f>
        <v>-0.12105357578334597</v>
      </c>
      <c r="Z29" s="18" cm="1">
        <f t="array" aca="1" ref="Z29" ca="1">_xll.BDH(curve[[#This Row],[short code]],curve[[#This Row],[hist spread measure]],$AA$2)</f>
        <v>176.91300000000001</v>
      </c>
      <c r="AA29" s="18" cm="1">
        <f t="array" aca="1" ref="AA29" ca="1">_xll.BDH(curve[[#This Row],[long code]],curve[[#This Row],[hist spread measure]],$AA$2)</f>
        <v>194.04599999999999</v>
      </c>
      <c r="AB29" s="18">
        <f ca="1">IFERROR(curve[[#This Row],[long spread (30d)]]-curve[[#This Row],[short spread (30d)]],"-")</f>
        <v>17.132999999999981</v>
      </c>
      <c r="AC29" s="18">
        <f ca="1">IFERROR(curve[[#This Row],[curve (30d)]]/curve[[#This Row],[years]],"-")</f>
        <v>3.817793040293036</v>
      </c>
      <c r="AD29" s="18">
        <f ca="1">IFERROR(curve[[#This Row],[curve per year]]-curve[[#This Row],[curve per year (30d)]],"-")</f>
        <v>-1.960314870044638</v>
      </c>
      <c r="AE29" s="18" cm="1">
        <f t="array" ref="AE29">_xll.BDP(curve[[#This Row],[short code]],"interval_avg","calc_interval=30d","market_data_override=sp210")</f>
        <v>181.91365517241383</v>
      </c>
      <c r="AF29" s="18" cm="1">
        <f t="array" ref="AF29">_xll.BDP(curve[[#This Row],[short code]],"interval_avg","calc_interval=90d","market_data_override=sp210")</f>
        <v>183.7686976744186</v>
      </c>
      <c r="AG29" s="18" cm="1">
        <f t="array" ref="AG29">_xll.BDP(curve[[#This Row],[short code]],"interval_std_dev","calc_interval=30d","market_data_override=sp210")</f>
        <v>20.820207581433721</v>
      </c>
    </row>
    <row r="30" spans="2:33" x14ac:dyDescent="0.25">
      <c r="B30" s="11" t="s">
        <v>112</v>
      </c>
      <c r="C30" s="12" t="s">
        <v>113</v>
      </c>
      <c r="D30" s="12" t="s">
        <v>114</v>
      </c>
      <c r="E30" s="5" t="str" cm="1">
        <f t="array" ref="E30">_xll.BDP(curve[[#This Row],[short code]],"security_name")</f>
        <v>VW 2.7 PERP</v>
      </c>
      <c r="F30" s="5" t="str" cm="1">
        <f t="array" ref="F30">_xll.BDP(curve[[#This Row],[long code]],"security_name")</f>
        <v>VW 3 1/2 PERP</v>
      </c>
      <c r="G30" s="8" cm="1">
        <f t="array" ref="G30">_xll.BDP(curve[[#This Row],[short code]],"nxt_call_dt")*1</f>
        <v>44909</v>
      </c>
      <c r="H30" s="8" cm="1">
        <f t="array" ref="H30">_xll.BDP(curve[[#This Row],[long code]],"nxt_call_dt")*1</f>
        <v>47562</v>
      </c>
      <c r="I30" s="17">
        <f>(curve[[#This Row],[long date]]-curve[[#This Row],[short date]])/365</f>
        <v>7.2684931506849315</v>
      </c>
      <c r="J30" s="12" t="s">
        <v>35</v>
      </c>
      <c r="K30" s="18" cm="1">
        <f t="array" ref="K30">_xll.BDP(curve[[#This Row],[short code]],curve[[#This Row],[spread measure]])</f>
        <v>381.39226707444124</v>
      </c>
      <c r="L30" s="18" cm="1">
        <f t="array" ref="L30">_xll.BDP(curve[[#This Row],[long code]],curve[[#This Row],[spread measure]])</f>
        <v>398.55349865938547</v>
      </c>
      <c r="M30" s="18">
        <f>curve[[#This Row],[long spread]]-curve[[#This Row],[short spread]]</f>
        <v>17.161231584944233</v>
      </c>
      <c r="N30" s="18">
        <f>curve[[#This Row],[curve]]/curve[[#This Row],[years]]</f>
        <v>2.3610439232961347</v>
      </c>
      <c r="O30" s="5" t="str" cm="1">
        <f t="array" ref="O30">_xll.BDP(curve[[#This Row],[short code]],"bb_composite")</f>
        <v>BBB-</v>
      </c>
      <c r="P30" s="5" t="str" cm="1">
        <f t="array" ref="P30">_xll.BDP(curve[[#This Row],[long code]],"bb_composite")</f>
        <v>BBB-</v>
      </c>
      <c r="Q30" s="5" t="str" cm="1">
        <f t="array" ref="Q30">_xll.BDP(curve[[#This Row],[short code]],"crncy")</f>
        <v>EUR</v>
      </c>
      <c r="R30" s="5" t="str" cm="1">
        <f t="array" ref="R30">_xll.BDP(curve[[#This Row],[long code]],"crncy")</f>
        <v>EUR</v>
      </c>
      <c r="S30" s="5" t="str">
        <f>INDEX(tkrBBG!AA:AA,MATCH(curve[[#This Row],[ticker]],tkrBBG!Z:Z,0))</f>
        <v>TMT/ AUTO</v>
      </c>
      <c r="T30" s="12" t="s">
        <v>36</v>
      </c>
      <c r="U30" s="18" cm="1">
        <f t="array" aca="1" ref="U30" ca="1">_xll.BDH(curve[[#This Row],[short code]],curve[[#This Row],[hist spread measure]],$V$2)</f>
        <v>372.14400000000001</v>
      </c>
      <c r="V30" s="18" cm="1">
        <f t="array" aca="1" ref="V30" ca="1">_xll.BDH(curve[[#This Row],[long code]],curve[[#This Row],[hist spread measure]],$V$2)</f>
        <v>377.03300000000002</v>
      </c>
      <c r="W30" s="18">
        <f ca="1">IFERROR(curve[[#This Row],[long Spread (14d)]]-curve[[#This Row],[short Spread (14d)]],"-")</f>
        <v>4.88900000000001</v>
      </c>
      <c r="X30" s="18">
        <f ca="1">IFERROR(curve[[#This Row],[curve (14d)]]/curve[[#This Row],[years]],"-")</f>
        <v>0.67262909913305824</v>
      </c>
      <c r="Y30" s="18">
        <f ca="1">IFERROR(curve[[#This Row],[curve per year]]-curve[[#This Row],[curve per year (14d)]],"-")</f>
        <v>1.6884148241630763</v>
      </c>
      <c r="Z30" s="18" cm="1">
        <f t="array" aca="1" ref="Z30" ca="1">_xll.BDH(curve[[#This Row],[short code]],curve[[#This Row],[hist spread measure]],$AA$2)</f>
        <v>365.14400000000001</v>
      </c>
      <c r="AA30" s="18" cm="1">
        <f t="array" aca="1" ref="AA30" ca="1">_xll.BDH(curve[[#This Row],[long code]],curve[[#This Row],[hist spread measure]],$AA$2)</f>
        <v>393.34500000000003</v>
      </c>
      <c r="AB30" s="18">
        <f ca="1">IFERROR(curve[[#This Row],[long spread (30d)]]-curve[[#This Row],[short spread (30d)]],"-")</f>
        <v>28.201000000000022</v>
      </c>
      <c r="AC30" s="18">
        <f ca="1">IFERROR(curve[[#This Row],[curve (30d)]]/curve[[#This Row],[years]],"-")</f>
        <v>3.8798963437617822</v>
      </c>
      <c r="AD30" s="18">
        <f ca="1">IFERROR(curve[[#This Row],[curve per year]]-curve[[#This Row],[curve per year (30d)]],"-")</f>
        <v>-1.5188524204656475</v>
      </c>
      <c r="AE30" s="18" cm="1">
        <f t="array" ref="AE30">_xll.BDP(curve[[#This Row],[short code]],"interval_avg","calc_interval=30d","market_data_override=sp210")</f>
        <v>350.20865517241378</v>
      </c>
      <c r="AF30" s="18" cm="1">
        <f t="array" ref="AF30">_xll.BDP(curve[[#This Row],[short code]],"interval_avg","calc_interval=90d","market_data_override=sp210")</f>
        <v>436.2765116279067</v>
      </c>
      <c r="AG30" s="18" cm="1">
        <f t="array" ref="AG30">_xll.BDP(curve[[#This Row],[short code]],"interval_std_dev","calc_interval=30d","market_data_override=sp210")</f>
        <v>46.033742915446474</v>
      </c>
    </row>
    <row r="31" spans="2:33" x14ac:dyDescent="0.25">
      <c r="B31" s="11" t="s">
        <v>115</v>
      </c>
      <c r="C31" s="12" t="s">
        <v>116</v>
      </c>
      <c r="D31" s="12" t="s">
        <v>117</v>
      </c>
      <c r="E31" s="5" t="str" cm="1">
        <f t="array" ref="E31">_xll.BDP(curve[[#This Row],[short code]],"security_name")</f>
        <v>BERTEL 3 04/23/75</v>
      </c>
      <c r="F31" s="5" t="str" cm="1">
        <f t="array" ref="F31">_xll.BDP(curve[[#This Row],[long code]],"security_name")</f>
        <v>BERTEL 3 1/2 04/23/75</v>
      </c>
      <c r="G31" s="8" cm="1">
        <f t="array" ref="G31">_xll.BDP(curve[[#This Row],[short code]],"nxt_call_dt")*1</f>
        <v>45039</v>
      </c>
      <c r="H31" s="8" cm="1">
        <f t="array" ref="H31">_xll.BDP(curve[[#This Row],[long code]],"nxt_call_dt")*1</f>
        <v>46500</v>
      </c>
      <c r="I31" s="17">
        <f>(curve[[#This Row],[long date]]-curve[[#This Row],[short date]])/365</f>
        <v>4.0027397260273974</v>
      </c>
      <c r="J31" s="12" t="s">
        <v>35</v>
      </c>
      <c r="K31" s="18" cm="1">
        <f t="array" ref="K31">_xll.BDP(curve[[#This Row],[short code]],curve[[#This Row],[spread measure]])</f>
        <v>350.59474142635855</v>
      </c>
      <c r="L31" s="18" cm="1">
        <f t="array" ref="L31">_xll.BDP(curve[[#This Row],[long code]],curve[[#This Row],[spread measure]])</f>
        <v>371.60924784107738</v>
      </c>
      <c r="M31" s="18">
        <f>curve[[#This Row],[long spread]]-curve[[#This Row],[short spread]]</f>
        <v>21.014506414718824</v>
      </c>
      <c r="N31" s="18">
        <f>curve[[#This Row],[curve]]/curve[[#This Row],[years]]</f>
        <v>5.2500306922466597</v>
      </c>
      <c r="O31" s="5" t="str" cm="1">
        <f t="array" ref="O31">_xll.BDP(curve[[#This Row],[short code]],"bb_composite")</f>
        <v>BB+</v>
      </c>
      <c r="P31" s="5" t="str" cm="1">
        <f t="array" ref="P31">_xll.BDP(curve[[#This Row],[long code]],"bb_composite")</f>
        <v>BB+</v>
      </c>
      <c r="Q31" s="5" t="str" cm="1">
        <f t="array" ref="Q31">_xll.BDP(curve[[#This Row],[short code]],"crncy")</f>
        <v>EUR</v>
      </c>
      <c r="R31" s="5" t="str" cm="1">
        <f t="array" ref="R31">_xll.BDP(curve[[#This Row],[long code]],"crncy")</f>
        <v>EUR</v>
      </c>
      <c r="S31" s="5" t="str">
        <f>INDEX(tkrBBG!AA:AA,MATCH(curve[[#This Row],[ticker]],tkrBBG!Z:Z,0))</f>
        <v>TMT/ AUTO</v>
      </c>
      <c r="T31" s="12" t="s">
        <v>36</v>
      </c>
      <c r="U31" s="18" cm="1">
        <f t="array" aca="1" ref="U31" ca="1">_xll.BDH(curve[[#This Row],[short code]],curve[[#This Row],[hist spread measure]],$V$2)</f>
        <v>380.548</v>
      </c>
      <c r="V31" s="18" cm="1">
        <f t="array" aca="1" ref="V31" ca="1">_xll.BDH(curve[[#This Row],[long code]],curve[[#This Row],[hist spread measure]],$V$2)</f>
        <v>377.46199999999999</v>
      </c>
      <c r="W31" s="18">
        <f ca="1">IFERROR(curve[[#This Row],[long Spread (14d)]]-curve[[#This Row],[short Spread (14d)]],"-")</f>
        <v>-3.0860000000000127</v>
      </c>
      <c r="X31" s="18">
        <f ca="1">IFERROR(curve[[#This Row],[curve (14d)]]/curve[[#This Row],[years]],"-")</f>
        <v>-0.77097193702943501</v>
      </c>
      <c r="Y31" s="18">
        <f ca="1">IFERROR(curve[[#This Row],[curve per year]]-curve[[#This Row],[curve per year (14d)]],"-")</f>
        <v>6.0210026292760945</v>
      </c>
      <c r="Z31" s="18" cm="1">
        <f t="array" aca="1" ref="Z31" ca="1">_xll.BDH(curve[[#This Row],[short code]],curve[[#This Row],[hist spread measure]],$AA$2)</f>
        <v>408.94</v>
      </c>
      <c r="AA31" s="18" cm="1">
        <f t="array" aca="1" ref="AA31" ca="1">_xll.BDH(curve[[#This Row],[long code]],curve[[#This Row],[hist spread measure]],$AA$2)</f>
        <v>395.92899999999997</v>
      </c>
      <c r="AB31" s="18">
        <f ca="1">IFERROR(curve[[#This Row],[long spread (30d)]]-curve[[#This Row],[short spread (30d)]],"-")</f>
        <v>-13.011000000000024</v>
      </c>
      <c r="AC31" s="18">
        <f ca="1">IFERROR(curve[[#This Row],[curve (30d)]]/curve[[#This Row],[years]],"-")</f>
        <v>-3.2505236139630451</v>
      </c>
      <c r="AD31" s="18">
        <f ca="1">IFERROR(curve[[#This Row],[curve per year]]-curve[[#This Row],[curve per year (30d)]],"-")</f>
        <v>8.500554306209704</v>
      </c>
      <c r="AE31" s="18" cm="1">
        <f t="array" ref="AE31">_xll.BDP(curve[[#This Row],[short code]],"interval_avg","calc_interval=30d","market_data_override=sp210")</f>
        <v>379.17717241379313</v>
      </c>
      <c r="AF31" s="18" cm="1">
        <f t="array" ref="AF31">_xll.BDP(curve[[#This Row],[short code]],"interval_avg","calc_interval=90d","market_data_override=sp210")</f>
        <v>414.56508139534901</v>
      </c>
      <c r="AG31" s="18" cm="1">
        <f t="array" ref="AG31">_xll.BDP(curve[[#This Row],[short code]],"interval_std_dev","calc_interval=30d","market_data_override=sp210")</f>
        <v>34.285617416750469</v>
      </c>
    </row>
    <row r="32" spans="2:33" x14ac:dyDescent="0.25">
      <c r="B32" s="11" t="s">
        <v>118</v>
      </c>
      <c r="C32" s="12" t="s">
        <v>119</v>
      </c>
      <c r="D32" s="12" t="s">
        <v>120</v>
      </c>
      <c r="E32" s="5" t="str" cm="1">
        <f t="array" ref="E32">_xll.BDP(curve[[#This Row],[short code]],"security_name")</f>
        <v>OMVAV 2 7/8 PERP</v>
      </c>
      <c r="F32" s="5" t="str" cm="1">
        <f t="array" ref="F32">_xll.BDP(curve[[#This Row],[long code]],"security_name")</f>
        <v>OMVAV 6 1/4 PERP</v>
      </c>
      <c r="G32" s="8" cm="1">
        <f t="array" ref="G32">_xll.BDP(curve[[#This Row],[short code]],"nxt_call_dt")*1</f>
        <v>45370</v>
      </c>
      <c r="H32" s="8" cm="1">
        <f t="array" ref="H32">_xll.BDP(curve[[#This Row],[long code]],"nxt_call_dt")*1</f>
        <v>46000</v>
      </c>
      <c r="I32" s="17">
        <f>(curve[[#This Row],[long date]]-curve[[#This Row],[short date]])/365</f>
        <v>1.726027397260274</v>
      </c>
      <c r="J32" s="12" t="s">
        <v>35</v>
      </c>
      <c r="K32" s="18" cm="1">
        <f t="array" ref="K32">_xll.BDP(curve[[#This Row],[short code]],curve[[#This Row],[spread measure]])</f>
        <v>294.91114796592603</v>
      </c>
      <c r="L32" s="18" cm="1">
        <f t="array" ref="L32">_xll.BDP(curve[[#This Row],[long code]],curve[[#This Row],[spread measure]])</f>
        <v>296.87237203567099</v>
      </c>
      <c r="M32" s="18">
        <f>curve[[#This Row],[long spread]]-curve[[#This Row],[short spread]]</f>
        <v>1.9612240697449579</v>
      </c>
      <c r="N32" s="18">
        <f>curve[[#This Row],[curve]]/curve[[#This Row],[years]]</f>
        <v>1.1362647388204914</v>
      </c>
      <c r="O32" s="5" t="str" cm="1">
        <f t="array" ref="O32">_xll.BDP(curve[[#This Row],[short code]],"bb_composite")</f>
        <v>BBB</v>
      </c>
      <c r="P32" s="5" t="str" cm="1">
        <f t="array" ref="P32">_xll.BDP(curve[[#This Row],[long code]],"bb_composite")</f>
        <v>BBB</v>
      </c>
      <c r="Q32" s="5" t="str" cm="1">
        <f t="array" ref="Q32">_xll.BDP(curve[[#This Row],[short code]],"crncy")</f>
        <v>EUR</v>
      </c>
      <c r="R32" s="5" t="str" cm="1">
        <f t="array" ref="R32">_xll.BDP(curve[[#This Row],[long code]],"crncy")</f>
        <v>EUR</v>
      </c>
      <c r="S32" s="5" t="str">
        <f>INDEX(tkrBBG!AA:AA,MATCH(curve[[#This Row],[ticker]],tkrBBG!Z:Z,0))</f>
        <v>Energy</v>
      </c>
      <c r="T32" s="12" t="s">
        <v>36</v>
      </c>
      <c r="U32" s="18" cm="1">
        <f t="array" aca="1" ref="U32" ca="1">_xll.BDH(curve[[#This Row],[short code]],curve[[#This Row],[hist spread measure]],$V$2)</f>
        <v>301.52199999999999</v>
      </c>
      <c r="V32" s="18" cm="1">
        <f t="array" aca="1" ref="V32" ca="1">_xll.BDH(curve[[#This Row],[long code]],curve[[#This Row],[hist spread measure]],$V$2)</f>
        <v>306.06900000000002</v>
      </c>
      <c r="W32" s="18">
        <f ca="1">IFERROR(curve[[#This Row],[long Spread (14d)]]-curve[[#This Row],[short Spread (14d)]],"-")</f>
        <v>4.5470000000000255</v>
      </c>
      <c r="X32" s="18">
        <f ca="1">IFERROR(curve[[#This Row],[curve (14d)]]/curve[[#This Row],[years]],"-")</f>
        <v>2.6343730158730305</v>
      </c>
      <c r="Y32" s="18">
        <f ca="1">IFERROR(curve[[#This Row],[curve per year]]-curve[[#This Row],[curve per year (14d)]],"-")</f>
        <v>-1.4981082770525391</v>
      </c>
      <c r="Z32" s="18" cm="1">
        <f t="array" aca="1" ref="Z32" ca="1">_xll.BDH(curve[[#This Row],[short code]],curve[[#This Row],[hist spread measure]],$AA$2)</f>
        <v>300.786</v>
      </c>
      <c r="AA32" s="18" cm="1">
        <f t="array" aca="1" ref="AA32" ca="1">_xll.BDH(curve[[#This Row],[long code]],curve[[#This Row],[hist spread measure]],$AA$2)</f>
        <v>319.37200000000001</v>
      </c>
      <c r="AB32" s="18">
        <f ca="1">IFERROR(curve[[#This Row],[long spread (30d)]]-curve[[#This Row],[short spread (30d)]],"-")</f>
        <v>18.586000000000013</v>
      </c>
      <c r="AC32" s="18">
        <f ca="1">IFERROR(curve[[#This Row],[curve (30d)]]/curve[[#This Row],[years]],"-")</f>
        <v>10.768079365079373</v>
      </c>
      <c r="AD32" s="18">
        <f ca="1">IFERROR(curve[[#This Row],[curve per year]]-curve[[#This Row],[curve per year (30d)]],"-")</f>
        <v>-9.6318146262588815</v>
      </c>
      <c r="AE32" s="18" cm="1">
        <f t="array" ref="AE32">_xll.BDP(curve[[#This Row],[short code]],"interval_avg","calc_interval=30d","market_data_override=sp210")</f>
        <v>295.95248275862076</v>
      </c>
      <c r="AF32" s="18" cm="1">
        <f t="array" ref="AF32">_xll.BDP(curve[[#This Row],[short code]],"interval_avg","calc_interval=90d","market_data_override=sp210")</f>
        <v>360.67143023255824</v>
      </c>
      <c r="AG32" s="18" cm="1">
        <f t="array" ref="AG32">_xll.BDP(curve[[#This Row],[short code]],"interval_std_dev","calc_interval=30d","market_data_override=sp210")</f>
        <v>18.023651010786381</v>
      </c>
    </row>
    <row r="33" spans="2:34" x14ac:dyDescent="0.25">
      <c r="B33" s="11" t="s">
        <v>121</v>
      </c>
      <c r="C33" s="12" t="s">
        <v>122</v>
      </c>
      <c r="D33" s="12" t="s">
        <v>123</v>
      </c>
      <c r="E33" s="5" t="str" cm="1">
        <f t="array" ref="E33">_xll.BDP(curve[[#This Row],[short code]],"security_name")</f>
        <v>IBESM 1 7/8 PERP</v>
      </c>
      <c r="F33" s="5" t="str" cm="1">
        <f t="array" ref="F33">_xll.BDP(curve[[#This Row],[long code]],"security_name")</f>
        <v>IBESM 3 1/4 PERP</v>
      </c>
      <c r="G33" s="8" cm="1">
        <f t="array" ref="G33">_xll.BDP(curve[[#This Row],[short code]],"nxt_call_dt")*1</f>
        <v>44979</v>
      </c>
      <c r="H33" s="8" cm="1">
        <f t="array" ref="H33">_xll.BDP(curve[[#This Row],[long code]],"nxt_call_dt")*1</f>
        <v>45608</v>
      </c>
      <c r="I33" s="17">
        <f>(curve[[#This Row],[long date]]-curve[[#This Row],[short date]])/365</f>
        <v>1.7232876712328766</v>
      </c>
      <c r="J33" s="12" t="s">
        <v>35</v>
      </c>
      <c r="K33" s="18" cm="1">
        <f t="array" ref="K33">_xll.BDP(curve[[#This Row],[short code]],curve[[#This Row],[spread measure]])</f>
        <v>213.05160684913224</v>
      </c>
      <c r="L33" s="18" cm="1">
        <f t="array" ref="L33">_xll.BDP(curve[[#This Row],[long code]],curve[[#This Row],[spread measure]])</f>
        <v>214.51604056760806</v>
      </c>
      <c r="M33" s="18">
        <f>curve[[#This Row],[long spread]]-curve[[#This Row],[short spread]]</f>
        <v>1.4644337184758172</v>
      </c>
      <c r="N33" s="18">
        <f>curve[[#This Row],[curve]]/curve[[#This Row],[years]]</f>
        <v>0.8497906315479703</v>
      </c>
      <c r="O33" s="5" t="str" cm="1">
        <f t="array" ref="O33">_xll.BDP(curve[[#This Row],[short code]],"bb_composite")</f>
        <v>BBB-</v>
      </c>
      <c r="P33" s="5" t="str" cm="1">
        <f t="array" ref="P33">_xll.BDP(curve[[#This Row],[long code]],"bb_composite")</f>
        <v>BBB-</v>
      </c>
      <c r="Q33" s="5" t="str" cm="1">
        <f t="array" ref="Q33">_xll.BDP(curve[[#This Row],[short code]],"crncy")</f>
        <v>EUR</v>
      </c>
      <c r="R33" s="5" t="str" cm="1">
        <f t="array" ref="R33">_xll.BDP(curve[[#This Row],[long code]],"crncy")</f>
        <v>EUR</v>
      </c>
      <c r="S33" s="5" t="str">
        <f>INDEX(tkrBBG!AA:AA,MATCH(curve[[#This Row],[ticker]],tkrBBG!Z:Z,0))</f>
        <v>UTILS</v>
      </c>
      <c r="T33" s="12" t="s">
        <v>36</v>
      </c>
      <c r="U33" s="18" cm="1">
        <f t="array" aca="1" ref="U33" ca="1">_xll.BDH(curve[[#This Row],[short code]],curve[[#This Row],[hist spread measure]],$V$2)</f>
        <v>209.62700000000001</v>
      </c>
      <c r="V33" s="18" cm="1">
        <f t="array" aca="1" ref="V33" ca="1">_xll.BDH(curve[[#This Row],[long code]],curve[[#This Row],[hist spread measure]],$V$2)</f>
        <v>199.04499999999999</v>
      </c>
      <c r="W33" s="18">
        <f ca="1">IFERROR(curve[[#This Row],[long Spread (14d)]]-curve[[#This Row],[short Spread (14d)]],"-")</f>
        <v>-10.582000000000022</v>
      </c>
      <c r="X33" s="18">
        <f ca="1">IFERROR(curve[[#This Row],[curve (14d)]]/curve[[#This Row],[years]],"-")</f>
        <v>-6.140588235294131</v>
      </c>
      <c r="Y33" s="18">
        <f ca="1">IFERROR(curve[[#This Row],[curve per year]]-curve[[#This Row],[curve per year (14d)]],"-")</f>
        <v>6.990378866842101</v>
      </c>
      <c r="Z33" s="18" cm="1">
        <f t="array" aca="1" ref="Z33" ca="1">_xll.BDH(curve[[#This Row],[short code]],curve[[#This Row],[hist spread measure]],$AA$2)</f>
        <v>197.69300000000001</v>
      </c>
      <c r="AA33" s="18" cm="1">
        <f t="array" aca="1" ref="AA33" ca="1">_xll.BDH(curve[[#This Row],[long code]],curve[[#This Row],[hist spread measure]],$AA$2)</f>
        <v>202.14500000000001</v>
      </c>
      <c r="AB33" s="18">
        <f ca="1">IFERROR(curve[[#This Row],[long spread (30d)]]-curve[[#This Row],[short spread (30d)]],"-")</f>
        <v>4.4519999999999982</v>
      </c>
      <c r="AC33" s="18">
        <f ca="1">IFERROR(curve[[#This Row],[curve (30d)]]/curve[[#This Row],[years]],"-")</f>
        <v>2.5834340222575509</v>
      </c>
      <c r="AD33" s="18">
        <f ca="1">IFERROR(curve[[#This Row],[curve per year]]-curve[[#This Row],[curve per year (30d)]],"-")</f>
        <v>-1.7336433907095805</v>
      </c>
      <c r="AE33" s="18" cm="1">
        <f t="array" ref="AE33">_xll.BDP(curve[[#This Row],[short code]],"interval_avg","calc_interval=30d","market_data_override=sp210")</f>
        <v>199.08906896551727</v>
      </c>
      <c r="AF33" s="18" cm="1">
        <f t="array" ref="AF33">_xll.BDP(curve[[#This Row],[short code]],"interval_avg","calc_interval=90d","market_data_override=sp210")</f>
        <v>238.81716279069775</v>
      </c>
      <c r="AG33" s="18" cm="1">
        <f t="array" ref="AG33">_xll.BDP(curve[[#This Row],[short code]],"interval_std_dev","calc_interval=30d","market_data_override=sp210")</f>
        <v>19.532159347619206</v>
      </c>
    </row>
    <row r="34" spans="2:34" x14ac:dyDescent="0.25">
      <c r="B34" s="11" t="s">
        <v>124</v>
      </c>
      <c r="C34" s="12" t="s">
        <v>125</v>
      </c>
      <c r="D34" s="12" t="s">
        <v>126</v>
      </c>
      <c r="E34" s="5" t="str" cm="1">
        <f t="array" ref="E34">_xll.BDP(curve[[#This Row],[short code]],"security_name")</f>
        <v>TELEFO 3 PERP</v>
      </c>
      <c r="F34" s="5" t="str" cm="1">
        <f t="array" ref="F34">_xll.BDP(curve[[#This Row],[long code]],"security_name")</f>
        <v>TELEFO 2 7/8 PERP</v>
      </c>
      <c r="G34" s="8" cm="1">
        <f t="array" ref="G34">_xll.BDP(curve[[#This Row],[short code]],"nxt_call_dt")*1</f>
        <v>45173</v>
      </c>
      <c r="H34" s="8" cm="1">
        <f t="array" ref="H34">_xll.BDP(curve[[#This Row],[long code]],"nxt_call_dt")*1</f>
        <v>46562</v>
      </c>
      <c r="I34" s="17">
        <f>(curve[[#This Row],[long date]]-curve[[#This Row],[short date]])/365</f>
        <v>3.8054794520547945</v>
      </c>
      <c r="J34" s="12" t="s">
        <v>35</v>
      </c>
      <c r="K34" s="18" cm="1">
        <f t="array" ref="K34">_xll.BDP(curve[[#This Row],[short code]],curve[[#This Row],[spread measure]])</f>
        <v>376.27144556373077</v>
      </c>
      <c r="L34" s="18" cm="1">
        <f t="array" ref="L34">_xll.BDP(curve[[#This Row],[long code]],curve[[#This Row],[spread measure]])</f>
        <v>382.25833678682505</v>
      </c>
      <c r="M34" s="18">
        <f>curve[[#This Row],[long spread]]-curve[[#This Row],[short spread]]</f>
        <v>5.9868912230942897</v>
      </c>
      <c r="N34" s="18">
        <f>curve[[#This Row],[curve]]/curve[[#This Row],[years]]</f>
        <v>1.5732291550967716</v>
      </c>
      <c r="O34" s="5" t="str" cm="1">
        <f t="array" ref="O34">_xll.BDP(curve[[#This Row],[short code]],"bb_composite")</f>
        <v>BB</v>
      </c>
      <c r="P34" s="5" t="str" cm="1">
        <f t="array" ref="P34">_xll.BDP(curve[[#This Row],[long code]],"bb_composite")</f>
        <v>BB</v>
      </c>
      <c r="Q34" s="5" t="str" cm="1">
        <f t="array" ref="Q34">_xll.BDP(curve[[#This Row],[short code]],"crncy")</f>
        <v>EUR</v>
      </c>
      <c r="R34" s="5" t="str" cm="1">
        <f t="array" ref="R34">_xll.BDP(curve[[#This Row],[long code]],"crncy")</f>
        <v>EUR</v>
      </c>
      <c r="S34" s="5" t="str">
        <f>INDEX(tkrBBG!AA:AA,MATCH(curve[[#This Row],[ticker]],tkrBBG!Z:Z,0))</f>
        <v>TMT/ AUTO</v>
      </c>
      <c r="T34" s="12" t="s">
        <v>36</v>
      </c>
      <c r="U34" s="18" cm="1">
        <f t="array" aca="1" ref="U34" ca="1">_xll.BDH(curve[[#This Row],[short code]],curve[[#This Row],[hist spread measure]],$V$2)</f>
        <v>393.03300000000002</v>
      </c>
      <c r="V34" s="18" cm="1">
        <f t="array" aca="1" ref="V34" ca="1">_xll.BDH(curve[[#This Row],[long code]],curve[[#This Row],[hist spread measure]],$V$2)</f>
        <v>366.23</v>
      </c>
      <c r="W34" s="18">
        <f ca="1">IFERROR(curve[[#This Row],[long Spread (14d)]]-curve[[#This Row],[short Spread (14d)]],"-")</f>
        <v>-26.802999999999997</v>
      </c>
      <c r="X34" s="18">
        <f ca="1">IFERROR(curve[[#This Row],[curve (14d)]]/curve[[#This Row],[years]],"-")</f>
        <v>-7.0432649388048949</v>
      </c>
      <c r="Y34" s="18">
        <f ca="1">IFERROR(curve[[#This Row],[curve per year]]-curve[[#This Row],[curve per year (14d)]],"-")</f>
        <v>8.6164940939016663</v>
      </c>
      <c r="Z34" s="18" cm="1">
        <f t="array" aca="1" ref="Z34" ca="1">_xll.BDH(curve[[#This Row],[short code]],curve[[#This Row],[hist spread measure]],$AA$2)</f>
        <v>389.084</v>
      </c>
      <c r="AA34" s="18" cm="1">
        <f t="array" aca="1" ref="AA34" ca="1">_xll.BDH(curve[[#This Row],[long code]],curve[[#This Row],[hist spread measure]],$AA$2)</f>
        <v>383.93299999999999</v>
      </c>
      <c r="AB34" s="18">
        <f ca="1">IFERROR(curve[[#This Row],[long spread (30d)]]-curve[[#This Row],[short spread (30d)]],"-")</f>
        <v>-5.1510000000000105</v>
      </c>
      <c r="AC34" s="18">
        <f ca="1">IFERROR(curve[[#This Row],[curve (30d)]]/curve[[#This Row],[years]],"-")</f>
        <v>-1.3535745140388797</v>
      </c>
      <c r="AD34" s="18">
        <f ca="1">IFERROR(curve[[#This Row],[curve per year]]-curve[[#This Row],[curve per year (30d)]],"-")</f>
        <v>2.9268036691356514</v>
      </c>
      <c r="AE34" s="18" cm="1">
        <f t="array" ref="AE34">_xll.BDP(curve[[#This Row],[short code]],"interval_avg","calc_interval=30d","market_data_override=sp210")</f>
        <v>383.4954827586206</v>
      </c>
      <c r="AF34" s="18" cm="1">
        <f t="array" ref="AF34">_xll.BDP(curve[[#This Row],[short code]],"interval_avg","calc_interval=90d","market_data_override=sp210")</f>
        <v>433.36062790697667</v>
      </c>
      <c r="AG34" s="18" cm="1">
        <f t="array" ref="AG34">_xll.BDP(curve[[#This Row],[short code]],"interval_std_dev","calc_interval=30d","market_data_override=sp210")</f>
        <v>28.283114654230275</v>
      </c>
    </row>
    <row r="35" spans="2:34" x14ac:dyDescent="0.25">
      <c r="B35" s="11" t="s">
        <v>127</v>
      </c>
      <c r="C35" s="12" t="s">
        <v>128</v>
      </c>
      <c r="D35" s="12" t="s">
        <v>129</v>
      </c>
      <c r="E35" s="5" t="str" cm="1">
        <f t="array" ref="E35">_xll.BDP(curve[[#This Row],[short code]],"security_name")</f>
        <v>VOD 3.1 01/03/79</v>
      </c>
      <c r="F35" s="5" t="str" cm="1">
        <f t="array" ref="F35">_xll.BDP(curve[[#This Row],[long code]],"security_name")</f>
        <v>VOD 4.2 10/03/78</v>
      </c>
      <c r="G35" s="8" cm="1">
        <f t="array" ref="G35">_xll.BDP(curve[[#This Row],[short code]],"nxt_call_dt")*1</f>
        <v>45202</v>
      </c>
      <c r="H35" s="8" cm="1">
        <f t="array" ref="H35">_xll.BDP(curve[[#This Row],[long code]],"nxt_call_dt")*1</f>
        <v>46937</v>
      </c>
      <c r="I35" s="17">
        <f>(curve[[#This Row],[long date]]-curve[[#This Row],[short date]])/365</f>
        <v>4.7534246575342465</v>
      </c>
      <c r="J35" s="12" t="s">
        <v>35</v>
      </c>
      <c r="K35" s="18" cm="1">
        <f t="array" ref="K35">_xll.BDP(curve[[#This Row],[short code]],curve[[#This Row],[spread measure]])</f>
        <v>313.63070457120796</v>
      </c>
      <c r="L35" s="18" cm="1">
        <f t="array" ref="L35">_xll.BDP(curve[[#This Row],[long code]],curve[[#This Row],[spread measure]])</f>
        <v>314.93560802623728</v>
      </c>
      <c r="M35" s="18">
        <f>curve[[#This Row],[long spread]]-curve[[#This Row],[short spread]]</f>
        <v>1.3049034550293186</v>
      </c>
      <c r="N35" s="18">
        <f>curve[[#This Row],[curve]]/curve[[#This Row],[years]]</f>
        <v>0.2745185942857068</v>
      </c>
      <c r="O35" s="5" t="str" cm="1">
        <f t="array" ref="O35">_xll.BDP(curve[[#This Row],[short code]],"bb_composite")</f>
        <v>BB+</v>
      </c>
      <c r="P35" s="5" t="str" cm="1">
        <f t="array" ref="P35">_xll.BDP(curve[[#This Row],[long code]],"bb_composite")</f>
        <v>BB+</v>
      </c>
      <c r="Q35" s="5" t="str" cm="1">
        <f t="array" ref="Q35">_xll.BDP(curve[[#This Row],[short code]],"crncy")</f>
        <v>EUR</v>
      </c>
      <c r="R35" s="5" t="str" cm="1">
        <f t="array" ref="R35">_xll.BDP(curve[[#This Row],[long code]],"crncy")</f>
        <v>EUR</v>
      </c>
      <c r="S35" s="5" t="str">
        <f>INDEX(tkrBBG!AA:AA,MATCH(curve[[#This Row],[ticker]],tkrBBG!Z:Z,0))</f>
        <v>TMT/ AUTO</v>
      </c>
      <c r="T35" s="12" t="s">
        <v>36</v>
      </c>
      <c r="U35" s="18" cm="1">
        <f t="array" aca="1" ref="U35" ca="1">_xll.BDH(curve[[#This Row],[short code]],curve[[#This Row],[hist spread measure]],$V$2)</f>
        <v>308.21800000000002</v>
      </c>
      <c r="V35" s="18" cm="1">
        <f t="array" aca="1" ref="V35" ca="1">_xll.BDH(curve[[#This Row],[long code]],curve[[#This Row],[hist spread measure]],$V$2)</f>
        <v>315.12900000000002</v>
      </c>
      <c r="W35" s="18">
        <f ca="1">IFERROR(curve[[#This Row],[long Spread (14d)]]-curve[[#This Row],[short Spread (14d)]],"-")</f>
        <v>6.9110000000000014</v>
      </c>
      <c r="X35" s="18">
        <f ca="1">IFERROR(curve[[#This Row],[curve (14d)]]/curve[[#This Row],[years]],"-")</f>
        <v>1.4538991354466861</v>
      </c>
      <c r="Y35" s="18">
        <f ca="1">IFERROR(curve[[#This Row],[curve per year]]-curve[[#This Row],[curve per year (14d)]],"-")</f>
        <v>-1.1793805411609792</v>
      </c>
      <c r="Z35" s="18" cm="1">
        <f t="array" aca="1" ref="Z35" ca="1">_xll.BDH(curve[[#This Row],[short code]],curve[[#This Row],[hist spread measure]],$AA$2)</f>
        <v>316.98</v>
      </c>
      <c r="AA35" s="18" cm="1">
        <f t="array" aca="1" ref="AA35" ca="1">_xll.BDH(curve[[#This Row],[long code]],curve[[#This Row],[hist spread measure]],$AA$2)</f>
        <v>336.39499999999998</v>
      </c>
      <c r="AB35" s="18">
        <f ca="1">IFERROR(curve[[#This Row],[long spread (30d)]]-curve[[#This Row],[short spread (30d)]],"-")</f>
        <v>19.414999999999964</v>
      </c>
      <c r="AC35" s="18">
        <f ca="1">IFERROR(curve[[#This Row],[curve (30d)]]/curve[[#This Row],[years]],"-")</f>
        <v>4.0844236311239115</v>
      </c>
      <c r="AD35" s="18">
        <f ca="1">IFERROR(curve[[#This Row],[curve per year]]-curve[[#This Row],[curve per year (30d)]],"-")</f>
        <v>-3.8099050368382046</v>
      </c>
      <c r="AE35" s="18" cm="1">
        <f t="array" ref="AE35">_xll.BDP(curve[[#This Row],[short code]],"interval_avg","calc_interval=30d","market_data_override=sp210")</f>
        <v>309.83810344827589</v>
      </c>
      <c r="AF35" s="18" cm="1">
        <f t="array" ref="AF35">_xll.BDP(curve[[#This Row],[short code]],"interval_avg","calc_interval=90d","market_data_override=sp210")</f>
        <v>368.6313255813954</v>
      </c>
      <c r="AG35" s="18" cm="1">
        <f t="array" ref="AG35">_xll.BDP(curve[[#This Row],[short code]],"interval_std_dev","calc_interval=30d","market_data_override=sp210")</f>
        <v>25.297158415161444</v>
      </c>
    </row>
    <row r="36" spans="2:34" x14ac:dyDescent="0.25">
      <c r="B36" s="11" t="s">
        <v>130</v>
      </c>
      <c r="C36" s="12" t="s">
        <v>131</v>
      </c>
      <c r="D36" s="12" t="s">
        <v>132</v>
      </c>
      <c r="E36" s="5" t="str" cm="1">
        <f t="array" ref="E36">_xll.BDP(curve[[#This Row],[short code]],"security_name")</f>
        <v>AKEFP 2 3/4 PERP</v>
      </c>
      <c r="F36" s="5" t="str" cm="1">
        <f t="array" ref="F36">_xll.BDP(curve[[#This Row],[long code]],"security_name")</f>
        <v>AKEFP 1 1/2 PERP</v>
      </c>
      <c r="G36" s="8" cm="1">
        <f t="array" ref="G36">_xll.BDP(curve[[#This Row],[short code]],"nxt_call_dt")*1</f>
        <v>45460</v>
      </c>
      <c r="H36" s="8" cm="1">
        <f t="array" ref="H36">_xll.BDP(curve[[#This Row],[long code]],"nxt_call_dt")*1</f>
        <v>45951</v>
      </c>
      <c r="I36" s="17">
        <f>(curve[[#This Row],[long date]]-curve[[#This Row],[short date]])/365</f>
        <v>1.3452054794520547</v>
      </c>
      <c r="J36" s="12" t="s">
        <v>35</v>
      </c>
      <c r="K36" s="18" cm="1">
        <f t="array" ref="K36">_xll.BDP(curve[[#This Row],[short code]],curve[[#This Row],[spread measure]])</f>
        <v>300.5382049231369</v>
      </c>
      <c r="L36" s="18" cm="1">
        <f t="array" ref="L36">_xll.BDP(curve[[#This Row],[long code]],curve[[#This Row],[spread measure]])</f>
        <v>291.45403442385856</v>
      </c>
      <c r="M36" s="18">
        <f>curve[[#This Row],[long spread]]-curve[[#This Row],[short spread]]</f>
        <v>-9.0841704992783434</v>
      </c>
      <c r="N36" s="18">
        <f>curve[[#This Row],[curve]]/curve[[#This Row],[years]]</f>
        <v>-6.7529984363270783</v>
      </c>
      <c r="O36" s="5" t="str" cm="1">
        <f t="array" ref="O36">_xll.BDP(curve[[#This Row],[short code]],"bb_composite")</f>
        <v>BBB-</v>
      </c>
      <c r="P36" s="5" t="str" cm="1">
        <f t="array" ref="P36">_xll.BDP(curve[[#This Row],[long code]],"bb_composite")</f>
        <v>BBB-</v>
      </c>
      <c r="Q36" s="5" t="str" cm="1">
        <f t="array" ref="Q36">_xll.BDP(curve[[#This Row],[short code]],"crncy")</f>
        <v>EUR</v>
      </c>
      <c r="R36" s="5" t="str" cm="1">
        <f t="array" ref="R36">_xll.BDP(curve[[#This Row],[long code]],"crncy")</f>
        <v>EUR</v>
      </c>
      <c r="S36" s="5" t="str">
        <f>INDEX(tkrBBG!AA:AA,MATCH(curve[[#This Row],[ticker]],tkrBBG!Z:Z,0))</f>
        <v>Low Beta</v>
      </c>
      <c r="T36" s="12" t="s">
        <v>36</v>
      </c>
      <c r="U36" s="18" cm="1">
        <f t="array" aca="1" ref="U36" ca="1">_xll.BDH(curve[[#This Row],[short code]],curve[[#This Row],[hist spread measure]],$V$2)</f>
        <v>295.69600000000003</v>
      </c>
      <c r="V36" s="18" cm="1">
        <f t="array" aca="1" ref="V36" ca="1">_xll.BDH(curve[[#This Row],[long code]],curve[[#This Row],[hist spread measure]],$V$2)</f>
        <v>286.608</v>
      </c>
      <c r="W36" s="18">
        <f ca="1">IFERROR(curve[[#This Row],[long Spread (14d)]]-curve[[#This Row],[short Spread (14d)]],"-")</f>
        <v>-9.0880000000000223</v>
      </c>
      <c r="X36" s="18">
        <f ca="1">IFERROR(curve[[#This Row],[curve (14d)]]/curve[[#This Row],[years]],"-")</f>
        <v>-6.7558452138493044</v>
      </c>
      <c r="Y36" s="18">
        <f ca="1">IFERROR(curve[[#This Row],[curve per year]]-curve[[#This Row],[curve per year (14d)]],"-")</f>
        <v>2.8467775222260627E-3</v>
      </c>
      <c r="Z36" s="18" cm="1">
        <f t="array" aca="1" ref="Z36" ca="1">_xll.BDH(curve[[#This Row],[short code]],curve[[#This Row],[hist spread measure]],$AA$2)</f>
        <v>315.36700000000002</v>
      </c>
      <c r="AA36" s="18" cm="1">
        <f t="array" aca="1" ref="AA36" ca="1">_xll.BDH(curve[[#This Row],[long code]],curve[[#This Row],[hist spread measure]],$AA$2)</f>
        <v>310.56700000000001</v>
      </c>
      <c r="AB36" s="18">
        <f ca="1">IFERROR(curve[[#This Row],[long spread (30d)]]-curve[[#This Row],[short spread (30d)]],"-")</f>
        <v>-4.8000000000000114</v>
      </c>
      <c r="AC36" s="18">
        <f ca="1">IFERROR(curve[[#This Row],[curve (30d)]]/curve[[#This Row],[years]],"-")</f>
        <v>-3.5682281059063223</v>
      </c>
      <c r="AD36" s="18">
        <f ca="1">IFERROR(curve[[#This Row],[curve per year]]-curve[[#This Row],[curve per year (30d)]],"-")</f>
        <v>-3.184770330420756</v>
      </c>
      <c r="AE36" s="18" cm="1">
        <f t="array" ref="AE36">_xll.BDP(curve[[#This Row],[short code]],"interval_avg","calc_interval=30d","market_data_override=sp210")</f>
        <v>291.15468965517238</v>
      </c>
      <c r="AF36" s="18" cm="1">
        <f t="array" ref="AF36">_xll.BDP(curve[[#This Row],[short code]],"interval_avg","calc_interval=90d","market_data_override=sp210")</f>
        <v>366.05867441860465</v>
      </c>
      <c r="AG36" s="18" cm="1">
        <f t="array" ref="AG36">_xll.BDP(curve[[#This Row],[short code]],"interval_std_dev","calc_interval=30d","market_data_override=sp210")</f>
        <v>26.169587287404891</v>
      </c>
    </row>
    <row r="37" spans="2:34" x14ac:dyDescent="0.25">
      <c r="B37" s="11" t="s">
        <v>133</v>
      </c>
      <c r="C37" s="12" t="s">
        <v>134</v>
      </c>
      <c r="D37" s="12" t="s">
        <v>135</v>
      </c>
      <c r="E37" s="5" t="str" cm="1">
        <f t="array" ref="E37">_xll.BDP(curve[[#This Row],[short code]],"security_name")</f>
        <v>ENGIFP 1 3/8 PERP</v>
      </c>
      <c r="F37" s="5" t="str" cm="1">
        <f t="array" ref="F37">_xll.BDP(curve[[#This Row],[long code]],"security_name")</f>
        <v>ENGIFP 1 5/8 PERP</v>
      </c>
      <c r="G37" s="8" cm="1">
        <f t="array" ref="G37">_xll.BDP(curve[[#This Row],[short code]],"nxt_call_dt")*1</f>
        <v>44942</v>
      </c>
      <c r="H37" s="8" cm="1">
        <f t="array" ref="H37">_xll.BDP(curve[[#This Row],[long code]],"nxt_call_dt")*1</f>
        <v>45755</v>
      </c>
      <c r="I37" s="17">
        <f>(curve[[#This Row],[long date]]-curve[[#This Row],[short date]])/365</f>
        <v>2.2273972602739724</v>
      </c>
      <c r="J37" s="12" t="s">
        <v>35</v>
      </c>
      <c r="K37" s="18" cm="1">
        <f t="array" ref="K37">_xll.BDP(curve[[#This Row],[short code]],curve[[#This Row],[spread measure]])</f>
        <v>253.31853430339621</v>
      </c>
      <c r="L37" s="18" cm="1">
        <f t="array" ref="L37">_xll.BDP(curve[[#This Row],[long code]],curve[[#This Row],[spread measure]])</f>
        <v>248.53902978143071</v>
      </c>
      <c r="M37" s="18">
        <f>curve[[#This Row],[long spread]]-curve[[#This Row],[short spread]]</f>
        <v>-4.7795045219654924</v>
      </c>
      <c r="N37" s="18">
        <f>curve[[#This Row],[curve]]/curve[[#This Row],[years]]</f>
        <v>-2.1457800129365374</v>
      </c>
      <c r="O37" s="5" t="str" cm="1">
        <f t="array" ref="O37">_xll.BDP(curve[[#This Row],[short code]],"bb_composite")</f>
        <v>BBB</v>
      </c>
      <c r="P37" s="5" t="str" cm="1">
        <f t="array" ref="P37">_xll.BDP(curve[[#This Row],[long code]],"bb_composite")</f>
        <v>BBB</v>
      </c>
      <c r="Q37" s="5" t="str" cm="1">
        <f t="array" ref="Q37">_xll.BDP(curve[[#This Row],[short code]],"crncy")</f>
        <v>EUR</v>
      </c>
      <c r="R37" s="5" t="str" cm="1">
        <f t="array" ref="R37">_xll.BDP(curve[[#This Row],[long code]],"crncy")</f>
        <v>EUR</v>
      </c>
      <c r="S37" s="5" t="str">
        <f>INDEX(tkrBBG!AA:AA,MATCH(curve[[#This Row],[ticker]],tkrBBG!Z:Z,0))</f>
        <v>UTILS</v>
      </c>
      <c r="T37" s="12" t="s">
        <v>36</v>
      </c>
      <c r="U37" s="18" cm="1">
        <f t="array" aca="1" ref="U37" ca="1">_xll.BDH(curve[[#This Row],[short code]],curve[[#This Row],[hist spread measure]],$V$2)</f>
        <v>281.03500000000003</v>
      </c>
      <c r="V37" s="18" cm="1">
        <f t="array" aca="1" ref="V37" ca="1">_xll.BDH(curve[[#This Row],[long code]],curve[[#This Row],[hist spread measure]],$V$2)</f>
        <v>240.32599999999999</v>
      </c>
      <c r="W37" s="18">
        <f ca="1">IFERROR(curve[[#This Row],[long Spread (14d)]]-curve[[#This Row],[short Spread (14d)]],"-")</f>
        <v>-40.709000000000032</v>
      </c>
      <c r="X37" s="18">
        <f ca="1">IFERROR(curve[[#This Row],[curve (14d)]]/curve[[#This Row],[years]],"-")</f>
        <v>-18.276488314883164</v>
      </c>
      <c r="Y37" s="18">
        <f ca="1">IFERROR(curve[[#This Row],[curve per year]]-curve[[#This Row],[curve per year (14d)]],"-")</f>
        <v>16.130708301946626</v>
      </c>
      <c r="Z37" s="18" cm="1">
        <f t="array" aca="1" ref="Z37" ca="1">_xll.BDH(curve[[#This Row],[short code]],curve[[#This Row],[hist spread measure]],$AA$2)</f>
        <v>247.2</v>
      </c>
      <c r="AA37" s="18" cm="1">
        <f t="array" aca="1" ref="AA37" ca="1">_xll.BDH(curve[[#This Row],[long code]],curve[[#This Row],[hist spread measure]],$AA$2)</f>
        <v>236.82900000000001</v>
      </c>
      <c r="AB37" s="18">
        <f ca="1">IFERROR(curve[[#This Row],[long spread (30d)]]-curve[[#This Row],[short spread (30d)]],"-")</f>
        <v>-10.370999999999981</v>
      </c>
      <c r="AC37" s="18">
        <f ca="1">IFERROR(curve[[#This Row],[curve (30d)]]/curve[[#This Row],[years]],"-")</f>
        <v>-4.6561070110701026</v>
      </c>
      <c r="AD37" s="18">
        <f ca="1">IFERROR(curve[[#This Row],[curve per year]]-curve[[#This Row],[curve per year (30d)]],"-")</f>
        <v>2.5103269981335652</v>
      </c>
      <c r="AE37" s="18" cm="1">
        <f t="array" ref="AE37">_xll.BDP(curve[[#This Row],[short code]],"interval_avg","calc_interval=30d","market_data_override=sp210")</f>
        <v>256.64172413793108</v>
      </c>
      <c r="AF37" s="18" cm="1">
        <f t="array" ref="AF37">_xll.BDP(curve[[#This Row],[short code]],"interval_avg","calc_interval=90d","market_data_override=sp210")</f>
        <v>272.54859302325588</v>
      </c>
      <c r="AG37" s="18" cm="1">
        <f t="array" ref="AG37">_xll.BDP(curve[[#This Row],[short code]],"interval_std_dev","calc_interval=30d","market_data_override=sp210")</f>
        <v>23.661798559366517</v>
      </c>
    </row>
    <row r="38" spans="2:34" x14ac:dyDescent="0.25">
      <c r="B38" s="11" t="s">
        <v>136</v>
      </c>
      <c r="C38" s="12" t="s">
        <v>137</v>
      </c>
      <c r="D38" s="12" t="s">
        <v>138</v>
      </c>
      <c r="E38" s="5" t="str" cm="1">
        <f t="array" ref="E38">_xll.BDP(curve[[#This Row],[short code]],"security_name")</f>
        <v>RWE 2 3/4 04/21/75</v>
      </c>
      <c r="F38" s="5" t="str" cm="1">
        <f t="array" ref="F38">_xll.BDP(curve[[#This Row],[long code]],"security_name")</f>
        <v>RWE 3 1/2 04/21/75</v>
      </c>
      <c r="G38" s="8" cm="1">
        <f t="array" ref="G38">_xll.BDP(curve[[#This Row],[short code]],"nxt_call_dt")*1</f>
        <v>44125</v>
      </c>
      <c r="H38" s="8" cm="1">
        <f t="array" ref="H38">_xll.BDP(curve[[#This Row],[long code]],"nxt_call_dt")*1</f>
        <v>45768</v>
      </c>
      <c r="I38" s="17">
        <f>(curve[[#This Row],[long date]]-curve[[#This Row],[short date]])/365</f>
        <v>4.5013698630136982</v>
      </c>
      <c r="J38" s="12" t="s">
        <v>35</v>
      </c>
      <c r="K38" s="18" cm="1">
        <f t="array" ref="K38">_xll.BDP(curve[[#This Row],[short code]],curve[[#This Row],[spread measure]])</f>
        <v>273.50629717213661</v>
      </c>
      <c r="L38" s="18" cm="1">
        <f t="array" ref="L38">_xll.BDP(curve[[#This Row],[long code]],curve[[#This Row],[spread measure]])</f>
        <v>286.81303879528588</v>
      </c>
      <c r="M38" s="18">
        <f>curve[[#This Row],[long spread]]-curve[[#This Row],[short spread]]</f>
        <v>13.306741623149264</v>
      </c>
      <c r="N38" s="18">
        <f>curve[[#This Row],[curve]]/curve[[#This Row],[years]]</f>
        <v>2.9561537994214739</v>
      </c>
      <c r="O38" s="5" t="str" cm="1">
        <f t="array" ref="O38">_xll.BDP(curve[[#This Row],[short code]],"bb_composite")</f>
        <v>BB</v>
      </c>
      <c r="P38" s="5" t="str" cm="1">
        <f t="array" ref="P38">_xll.BDP(curve[[#This Row],[long code]],"bb_composite")</f>
        <v>BB</v>
      </c>
      <c r="Q38" s="5" t="str" cm="1">
        <f t="array" ref="Q38">_xll.BDP(curve[[#This Row],[short code]],"crncy")</f>
        <v>EUR</v>
      </c>
      <c r="R38" s="5" t="str" cm="1">
        <f t="array" ref="R38">_xll.BDP(curve[[#This Row],[long code]],"crncy")</f>
        <v>EUR</v>
      </c>
      <c r="S38" s="5" t="str">
        <f>INDEX(tkrBBG!AA:AA,MATCH(curve[[#This Row],[ticker]],tkrBBG!Z:Z,0))</f>
        <v>UTILS</v>
      </c>
      <c r="T38" s="12" t="s">
        <v>36</v>
      </c>
      <c r="U38" s="18" cm="1">
        <f t="array" aca="1" ref="U38" ca="1">_xll.BDH(curve[[#This Row],[short code]],curve[[#This Row],[hist spread measure]],$V$2)</f>
        <v>308.75900000000001</v>
      </c>
      <c r="V38" s="18" cm="1">
        <f t="array" aca="1" ref="V38" ca="1">_xll.BDH(curve[[#This Row],[long code]],curve[[#This Row],[hist spread measure]],$V$2)</f>
        <v>286.43</v>
      </c>
      <c r="W38" s="18">
        <f ca="1">IFERROR(curve[[#This Row],[long Spread (14d)]]-curve[[#This Row],[short Spread (14d)]],"-")</f>
        <v>-22.329000000000008</v>
      </c>
      <c r="X38" s="18">
        <f ca="1">IFERROR(curve[[#This Row],[curve (14d)]]/curve[[#This Row],[years]],"-")</f>
        <v>-4.9604899573950112</v>
      </c>
      <c r="Y38" s="18">
        <f ca="1">IFERROR(curve[[#This Row],[curve per year]]-curve[[#This Row],[curve per year (14d)]],"-")</f>
        <v>7.9166437568164856</v>
      </c>
      <c r="Z38" s="18" cm="1">
        <f t="array" aca="1" ref="Z38" ca="1">_xll.BDH(curve[[#This Row],[short code]],curve[[#This Row],[hist spread measure]],$AA$2)</f>
        <v>382.976</v>
      </c>
      <c r="AA38" s="18" cm="1">
        <f t="array" aca="1" ref="AA38" ca="1">_xll.BDH(curve[[#This Row],[long code]],curve[[#This Row],[hist spread measure]],$AA$2)</f>
        <v>303.00200000000001</v>
      </c>
      <c r="AB38" s="18">
        <f ca="1">IFERROR(curve[[#This Row],[long spread (30d)]]-curve[[#This Row],[short spread (30d)]],"-")</f>
        <v>-79.97399999999999</v>
      </c>
      <c r="AC38" s="18">
        <f ca="1">IFERROR(curve[[#This Row],[curve (30d)]]/curve[[#This Row],[years]],"-")</f>
        <v>-17.766591600730372</v>
      </c>
      <c r="AD38" s="18">
        <f ca="1">IFERROR(curve[[#This Row],[curve per year]]-curve[[#This Row],[curve per year (30d)]],"-")</f>
        <v>20.722745400151847</v>
      </c>
      <c r="AE38" s="18" cm="1">
        <f t="array" ref="AE38">_xll.BDP(curve[[#This Row],[short code]],"interval_avg","calc_interval=30d","market_data_override=sp210")</f>
        <v>330.6566206896552</v>
      </c>
      <c r="AF38" s="18" cm="1">
        <f t="array" ref="AF38">_xll.BDP(curve[[#This Row],[short code]],"interval_avg","calc_interval=90d","market_data_override=sp210")</f>
        <v>453.20234883720951</v>
      </c>
      <c r="AG38" s="18" cm="1">
        <f t="array" ref="AG38">_xll.BDP(curve[[#This Row],[short code]],"interval_std_dev","calc_interval=30d","market_data_override=sp210")</f>
        <v>45.975523198618411</v>
      </c>
    </row>
    <row r="39" spans="2:34" x14ac:dyDescent="0.25">
      <c r="B39" s="11" t="s">
        <v>139</v>
      </c>
      <c r="C39" s="12" t="s">
        <v>140</v>
      </c>
      <c r="D39" s="12" t="s">
        <v>141</v>
      </c>
      <c r="E39" s="5" t="str" cm="1">
        <f t="array" ref="E39">_xll.BDP(curve[[#This Row],[short code]],"security_name")</f>
        <v>ULFP 2 1/8 PERP</v>
      </c>
      <c r="F39" s="5" t="str" cm="1">
        <f t="array" ref="F39">_xll.BDP(curve[[#This Row],[long code]],"security_name")</f>
        <v>ULFP 2 7/8 PERP</v>
      </c>
      <c r="G39" s="8" cm="1">
        <f t="array" ref="G39">_xll.BDP(curve[[#This Row],[short code]],"nxt_call_dt")*1</f>
        <v>45132</v>
      </c>
      <c r="H39" s="8" cm="1">
        <f t="array" ref="H39">_xll.BDP(curve[[#This Row],[long code]],"nxt_call_dt")*1</f>
        <v>46047</v>
      </c>
      <c r="I39" s="17">
        <f>(curve[[#This Row],[long date]]-curve[[#This Row],[short date]])/365</f>
        <v>2.506849315068493</v>
      </c>
      <c r="J39" s="12" t="s">
        <v>35</v>
      </c>
      <c r="K39" s="18" cm="1">
        <f t="array" ref="K39">_xll.BDP(curve[[#This Row],[short code]],curve[[#This Row],[spread measure]])</f>
        <v>697.96650056835654</v>
      </c>
      <c r="L39" s="18" cm="1">
        <f t="array" ref="L39">_xll.BDP(curve[[#This Row],[long code]],curve[[#This Row],[spread measure]])</f>
        <v>552.41533683757496</v>
      </c>
      <c r="M39" s="18">
        <f>curve[[#This Row],[long spread]]-curve[[#This Row],[short spread]]</f>
        <v>-145.55116373078158</v>
      </c>
      <c r="N39" s="18">
        <f>curve[[#This Row],[curve]]/curve[[#This Row],[years]]</f>
        <v>-58.06139318222435</v>
      </c>
      <c r="O39" s="5" t="str" cm="1">
        <f t="array" ref="O39">_xll.BDP(curve[[#This Row],[short code]],"bb_composite")</f>
        <v>BBB</v>
      </c>
      <c r="P39" s="5" t="str" cm="1">
        <f t="array" ref="P39">_xll.BDP(curve[[#This Row],[long code]],"bb_composite")</f>
        <v>BBB</v>
      </c>
      <c r="Q39" s="5" t="str" cm="1">
        <f t="array" ref="Q39">_xll.BDP(curve[[#This Row],[short code]],"crncy")</f>
        <v>EUR</v>
      </c>
      <c r="R39" s="5" t="str" cm="1">
        <f t="array" ref="R39">_xll.BDP(curve[[#This Row],[long code]],"crncy")</f>
        <v>EUR</v>
      </c>
      <c r="S39" s="5" t="str">
        <f>INDEX(tkrBBG!AA:AA,MATCH(curve[[#This Row],[ticker]],tkrBBG!Z:Z,0))</f>
        <v>REIT</v>
      </c>
      <c r="T39" s="12" t="s">
        <v>36</v>
      </c>
      <c r="U39" s="18" cm="1">
        <f t="array" aca="1" ref="U39" ca="1">_xll.BDH(curve[[#This Row],[short code]],curve[[#This Row],[hist spread measure]],$V$2)</f>
        <v>619.84299999999996</v>
      </c>
      <c r="V39" s="18" cm="1">
        <f t="array" aca="1" ref="V39" ca="1">_xll.BDH(curve[[#This Row],[long code]],curve[[#This Row],[hist spread measure]],$V$2)</f>
        <v>527.67999999999995</v>
      </c>
      <c r="W39" s="18">
        <f ca="1">IFERROR(curve[[#This Row],[long Spread (14d)]]-curve[[#This Row],[short Spread (14d)]],"-")</f>
        <v>-92.163000000000011</v>
      </c>
      <c r="X39" s="18">
        <f ca="1">IFERROR(curve[[#This Row],[curve (14d)]]/curve[[#This Row],[years]],"-")</f>
        <v>-36.764475409836074</v>
      </c>
      <c r="Y39" s="18">
        <f ca="1">IFERROR(curve[[#This Row],[curve per year]]-curve[[#This Row],[curve per year (14d)]],"-")</f>
        <v>-21.296917772388277</v>
      </c>
      <c r="Z39" s="18" cm="1">
        <f t="array" aca="1" ref="Z39" ca="1">_xll.BDH(curve[[#This Row],[short code]],curve[[#This Row],[hist spread measure]],$AA$2)</f>
        <v>739.94100000000003</v>
      </c>
      <c r="AA39" s="18" cm="1">
        <f t="array" aca="1" ref="AA39" ca="1">_xll.BDH(curve[[#This Row],[long code]],curve[[#This Row],[hist spread measure]],$AA$2)</f>
        <v>587.35500000000002</v>
      </c>
      <c r="AB39" s="18">
        <f ca="1">IFERROR(curve[[#This Row],[long spread (30d)]]-curve[[#This Row],[short spread (30d)]],"-")</f>
        <v>-152.58600000000001</v>
      </c>
      <c r="AC39" s="18">
        <f ca="1">IFERROR(curve[[#This Row],[curve (30d)]]/curve[[#This Row],[years]],"-")</f>
        <v>-60.867639344262308</v>
      </c>
      <c r="AD39" s="18">
        <f ca="1">IFERROR(curve[[#This Row],[curve per year]]-curve[[#This Row],[curve per year (30d)]],"-")</f>
        <v>2.806246162037958</v>
      </c>
      <c r="AE39" s="18" cm="1">
        <f t="array" ref="AE39">_xll.BDP(curve[[#This Row],[short code]],"interval_avg","calc_interval=30d","market_data_override=sp210")</f>
        <v>641.6938620689657</v>
      </c>
      <c r="AF39" s="18" cm="1">
        <f t="array" ref="AF39">_xll.BDP(curve[[#This Row],[short code]],"interval_avg","calc_interval=90d","market_data_override=sp210")</f>
        <v>654.38539534883751</v>
      </c>
      <c r="AG39" s="18" cm="1">
        <f t="array" ref="AG39">_xll.BDP(curve[[#This Row],[short code]],"interval_std_dev","calc_interval=30d","market_data_override=sp210")</f>
        <v>83.924612570161599</v>
      </c>
    </row>
    <row r="44" spans="2:34" x14ac:dyDescent="0.25">
      <c r="AH44" s="5" cm="1">
        <f t="array" ref="AH44">_xll.BDP("QJ937853 Corp","PX388","PX395=BLP_I_SPRD_MID","DY262=D","PY204=N","PX393=1M")</f>
        <v>303.3125454545455</v>
      </c>
    </row>
    <row r="45" spans="2:34" x14ac:dyDescent="0.25">
      <c r="C45" s="5" t="s">
        <v>22</v>
      </c>
      <c r="D45" s="5" t="s">
        <v>142</v>
      </c>
      <c r="E45" s="5" t="s">
        <v>143</v>
      </c>
      <c r="F45" s="5" t="s">
        <v>144</v>
      </c>
    </row>
    <row r="46" spans="2:34" x14ac:dyDescent="0.25">
      <c r="C46" s="5" t="str" cm="1">
        <f t="array" ref="C46:C51">_xlfn.UNIQUE(curve[RH sector])</f>
        <v>Low Beta</v>
      </c>
      <c r="D46" s="18">
        <f>_xlfn.MINIFS(curve[curve per year],curve[RH sector],C46)</f>
        <v>-6.7529984363270783</v>
      </c>
      <c r="E46" s="18">
        <f>AVERAGEIF(curve[RH sector],C46,curve[curve per year])</f>
        <v>18.44808573309211</v>
      </c>
      <c r="F46" s="18">
        <f>_xlfn.MAXIFS(curve[curve per year],curve[RH sector],C46)</f>
        <v>74.317888220279912</v>
      </c>
    </row>
    <row r="47" spans="2:34" x14ac:dyDescent="0.25">
      <c r="C47" s="5" t="str">
        <v>TMT/ AUTO</v>
      </c>
      <c r="D47" s="18">
        <f>_xlfn.MINIFS(curve[curve per year],curve[RH sector],C47)</f>
        <v>0.2745185942857068</v>
      </c>
      <c r="E47" s="18">
        <f>AVERAGEIF(curve[RH sector],C47,curve[curve per year])</f>
        <v>11.405482351758584</v>
      </c>
      <c r="F47" s="18">
        <f>_xlfn.MAXIFS(curve[curve per year],curve[RH sector],C47)</f>
        <v>52.637289702106834</v>
      </c>
      <c r="AH47" s="5" t="e" cm="1">
        <f t="array" ref="AH47">_xll.BDP(curve[[#This Row],[short code]],"INTERVAL_AVG", "CRNCY=GBP", "CALC_INTERVAL=30D", "MARKET_DATA_OVERRIDE=SP210")</f>
        <v>#VALUE!</v>
      </c>
    </row>
    <row r="48" spans="2:34" x14ac:dyDescent="0.25">
      <c r="C48" s="5" t="str">
        <v>REIT</v>
      </c>
      <c r="D48" s="18">
        <f>_xlfn.MINIFS(curve[curve per year],curve[RH sector],C48)</f>
        <v>-58.06139318222435</v>
      </c>
      <c r="E48" s="18">
        <f>AVERAGEIF(curve[RH sector],C48,curve[curve per year])</f>
        <v>11.450191802408158</v>
      </c>
      <c r="F48" s="18">
        <f>_xlfn.MAXIFS(curve[curve per year],curve[RH sector],C48)</f>
        <v>45.94982958656297</v>
      </c>
    </row>
    <row r="49" spans="3:6" x14ac:dyDescent="0.25">
      <c r="C49" s="5" t="str">
        <v>Energy</v>
      </c>
      <c r="D49" s="18">
        <f>_xlfn.MINIFS(curve[curve per year],curve[RH sector],C49)</f>
        <v>1.1362647388204914</v>
      </c>
      <c r="E49" s="18">
        <f>AVERAGEIF(curve[RH sector],C49,curve[curve per year])</f>
        <v>9.5616981519694715</v>
      </c>
      <c r="F49" s="18">
        <f>_xlfn.MAXIFS(curve[curve per year],curve[RH sector],C49)</f>
        <v>17.978642326589373</v>
      </c>
    </row>
    <row r="50" spans="3:6" x14ac:dyDescent="0.25">
      <c r="C50" s="5" t="str">
        <v>UTILS</v>
      </c>
      <c r="D50" s="18">
        <f>_xlfn.MINIFS(curve[curve per year],curve[RH sector],C50)</f>
        <v>-2.1457800129365374</v>
      </c>
      <c r="E50" s="18">
        <f>AVERAGEIF(curve[RH sector],C50,curve[curve per year])</f>
        <v>11.121429144109589</v>
      </c>
      <c r="F50" s="18">
        <f>_xlfn.MAXIFS(curve[curve per year],curve[RH sector],C50)</f>
        <v>29.448318731676522</v>
      </c>
    </row>
    <row r="51" spans="3:6" x14ac:dyDescent="0.25">
      <c r="C51" s="5" t="str">
        <v>missing</v>
      </c>
      <c r="D51" s="18">
        <f>_xlfn.MINIFS(curve[curve per year],curve[RH sector],C51)</f>
        <v>3.1230266518764065</v>
      </c>
      <c r="E51" s="18">
        <f>AVERAGEIF(curve[RH sector],C51,curve[curve per year])</f>
        <v>3.1230266518764065</v>
      </c>
      <c r="F51" s="18">
        <f>_xlfn.MAXIFS(curve[curve per year],curve[RH sector],C51)</f>
        <v>3.1230266518764065</v>
      </c>
    </row>
  </sheetData>
  <conditionalFormatting sqref="N4:N39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{D767183B-BE17-43A5-B576-875A56C9C3B1}</x14:id>
        </ext>
      </extLst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767183B-BE17-43A5-B576-875A56C9C3B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N4:N39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7BFE35B-3473-40AC-B1BE-BF741B93A95A}">
          <x14:formula1>
            <xm:f>tkrBBG!$X:$X</xm:f>
          </x14:formula1>
          <xm:sqref>J4:J39 T4:T39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729BF-0604-47A6-B841-81CFD080C04D}">
  <sheetPr>
    <tabColor theme="9"/>
  </sheetPr>
  <dimension ref="A1:J63"/>
  <sheetViews>
    <sheetView workbookViewId="0">
      <selection activeCell="E3" sqref="E3"/>
    </sheetView>
  </sheetViews>
  <sheetFormatPr defaultColWidth="8.7265625" defaultRowHeight="10.5" x14ac:dyDescent="0.25"/>
  <cols>
    <col min="1" max="16384" width="8.7265625" style="5"/>
  </cols>
  <sheetData>
    <row r="1" spans="1:10" ht="11" x14ac:dyDescent="0.3">
      <c r="A1" s="4" t="s">
        <v>169</v>
      </c>
      <c r="B1" s="4" t="s">
        <v>0</v>
      </c>
    </row>
    <row r="2" spans="1:10" x14ac:dyDescent="0.25">
      <c r="A2" s="5" t="str" cm="1">
        <f t="array" ref="A2:A7">_xlfn.UNIQUE(curve[RH sector])</f>
        <v>Low Beta</v>
      </c>
      <c r="B2" s="5" cm="1">
        <f t="array" ref="B2:B7">COUNTIF(curve[RH sector],_xlfn.ANCHORARRAY(A2))</f>
        <v>6</v>
      </c>
    </row>
    <row r="3" spans="1:10" x14ac:dyDescent="0.25">
      <c r="A3" s="5" t="str">
        <v>TMT/ AUTO</v>
      </c>
      <c r="B3" s="5">
        <v>8</v>
      </c>
    </row>
    <row r="4" spans="1:10" x14ac:dyDescent="0.25">
      <c r="A4" s="5" t="str">
        <v>REIT</v>
      </c>
      <c r="B4" s="5">
        <v>6</v>
      </c>
    </row>
    <row r="5" spans="1:10" x14ac:dyDescent="0.25">
      <c r="A5" s="5" t="str">
        <v>Energy</v>
      </c>
      <c r="B5" s="5">
        <v>4</v>
      </c>
    </row>
    <row r="6" spans="1:10" x14ac:dyDescent="0.25">
      <c r="A6" s="5" t="str">
        <v>UTILS</v>
      </c>
      <c r="B6" s="5">
        <v>11</v>
      </c>
    </row>
    <row r="7" spans="1:10" x14ac:dyDescent="0.25">
      <c r="A7" s="5" t="str">
        <v>missing</v>
      </c>
      <c r="B7" s="5">
        <v>1</v>
      </c>
    </row>
    <row r="9" spans="1:10" ht="33" x14ac:dyDescent="0.3">
      <c r="B9" s="19" t="s">
        <v>2</v>
      </c>
      <c r="C9" s="19" t="s">
        <v>3</v>
      </c>
      <c r="D9" s="19" t="s">
        <v>4</v>
      </c>
      <c r="E9" s="19" t="s">
        <v>5</v>
      </c>
      <c r="F9" s="4" t="s">
        <v>6</v>
      </c>
      <c r="G9" s="19" t="s">
        <v>7</v>
      </c>
      <c r="H9" s="19" t="s">
        <v>8</v>
      </c>
      <c r="J9" s="19" t="s">
        <v>170</v>
      </c>
    </row>
    <row r="11" spans="1:10" x14ac:dyDescent="0.25">
      <c r="A11" s="5" t="s">
        <v>171</v>
      </c>
      <c r="B11" s="5" t="str" cm="1">
        <f t="array" ref="B11:B16">_xlfn._xlws.FILTER(curve[ticker],curve[RH sector]=A11)</f>
        <v>SOLBBB</v>
      </c>
      <c r="C11" s="18" cm="1">
        <f t="array" ref="C11:C16">_xlfn._xlws.FILTER(curve[short spread],curve[RH sector]=A11)</f>
        <v>300.37002358639518</v>
      </c>
      <c r="D11" s="18" cm="1">
        <f t="array" ref="D11:D16">_xlfn._xlws.FILTER(curve[long spread],curve[RH sector]=A11)</f>
        <v>341.90659672868861</v>
      </c>
      <c r="E11" s="18" cm="1">
        <f t="array" ref="E11:E16">_xlfn._xlws.FILTER(curve[curve per year],curve[RH sector]=A11)</f>
        <v>74.317888220279912</v>
      </c>
      <c r="F11" s="5" t="str" cm="1">
        <f t="array" ref="F11:F16">_xlfn._xlws.FILTER(curve[short rating],curve[RH sector]=A11)</f>
        <v>BB+</v>
      </c>
      <c r="G11" s="18" cm="1">
        <f t="array" aca="1" ref="G11:G16" ca="1">_xlfn._xlws.FILTER(curve[curve change (14d)],curve[RH sector]=A11)</f>
        <v>-24.171278446386737</v>
      </c>
      <c r="H11" s="18" cm="1">
        <f t="array" aca="1" ref="H11:H16" ca="1">_xlfn._xlws.FILTER(curve[curve change (30d)],curve[RH sector]=A11)</f>
        <v>22.325069592828889</v>
      </c>
      <c r="J11" s="5" t="str" cm="1">
        <f t="array" ref="J11:J16">_xlfn._xlws.FILTER(curve[RH sector],curve[RH sector]=A11)</f>
        <v>Low Beta</v>
      </c>
    </row>
    <row r="12" spans="1:10" x14ac:dyDescent="0.25">
      <c r="B12" s="5" t="str">
        <v>DBOERS</v>
      </c>
      <c r="C12" s="18">
        <v>47.013230793768372</v>
      </c>
      <c r="D12" s="18">
        <v>152.14336084663844</v>
      </c>
      <c r="E12" s="18">
        <v>16.525623371790516</v>
      </c>
      <c r="F12" s="5" t="str">
        <v>NR</v>
      </c>
      <c r="G12" s="18">
        <f ca="1"/>
        <v>3.1360023554253118</v>
      </c>
      <c r="H12" s="18" t="str">
        <f ca="1"/>
        <v>-</v>
      </c>
      <c r="J12" s="5" t="str">
        <v>Low Beta</v>
      </c>
    </row>
    <row r="13" spans="1:10" x14ac:dyDescent="0.25">
      <c r="B13" s="5" t="str">
        <v>BAYNGR</v>
      </c>
      <c r="C13" s="18">
        <v>297.92803836907791</v>
      </c>
      <c r="D13" s="18">
        <v>338.55858698132403</v>
      </c>
      <c r="E13" s="18">
        <v>13.043228006569773</v>
      </c>
      <c r="F13" s="5" t="str">
        <v>BB+</v>
      </c>
      <c r="G13" s="18">
        <f ca="1"/>
        <v>1.4023924744677512</v>
      </c>
      <c r="H13" s="18">
        <f ca="1"/>
        <v>-5.2619874727617955</v>
      </c>
      <c r="J13" s="5" t="str">
        <v>Low Beta</v>
      </c>
    </row>
    <row r="14" spans="1:10" x14ac:dyDescent="0.25">
      <c r="B14" s="5" t="str">
        <v>MRKGR</v>
      </c>
      <c r="C14" s="18">
        <v>194.08227869092465</v>
      </c>
      <c r="D14" s="18">
        <v>246.92841448221063</v>
      </c>
      <c r="E14" s="18">
        <v>11.697295065991133</v>
      </c>
      <c r="F14" s="5" t="str">
        <v>BBB</v>
      </c>
      <c r="G14" s="18">
        <f ca="1"/>
        <v>0.53635207023613063</v>
      </c>
      <c r="H14" s="18">
        <f ca="1"/>
        <v>1.8097571642324954</v>
      </c>
      <c r="J14" s="5" t="str">
        <v>Low Beta</v>
      </c>
    </row>
    <row r="15" spans="1:10" x14ac:dyDescent="0.25">
      <c r="B15" s="5" t="str">
        <v>DBHNGR</v>
      </c>
      <c r="C15" s="18">
        <v>198.89351830612844</v>
      </c>
      <c r="D15" s="18">
        <v>207.22926965644865</v>
      </c>
      <c r="E15" s="18">
        <v>1.857478170248398</v>
      </c>
      <c r="F15" s="5" t="str">
        <v>BBB+</v>
      </c>
      <c r="G15" s="18">
        <f ca="1"/>
        <v>-0.12105357578334597</v>
      </c>
      <c r="H15" s="18">
        <f ca="1"/>
        <v>-1.960314870044638</v>
      </c>
      <c r="J15" s="5" t="str">
        <v>Low Beta</v>
      </c>
    </row>
    <row r="16" spans="1:10" x14ac:dyDescent="0.25">
      <c r="B16" s="5" t="str">
        <v>AKEFP</v>
      </c>
      <c r="C16" s="18">
        <v>300.5382049231369</v>
      </c>
      <c r="D16" s="18">
        <v>291.45403442385856</v>
      </c>
      <c r="E16" s="18">
        <v>-6.7529984363270783</v>
      </c>
      <c r="F16" s="5" t="str">
        <v>BBB-</v>
      </c>
      <c r="G16" s="18">
        <f ca="1"/>
        <v>2.8467775222260627E-3</v>
      </c>
      <c r="H16" s="18">
        <f ca="1"/>
        <v>-3.184770330420756</v>
      </c>
      <c r="J16" s="5" t="str">
        <v>Low Beta</v>
      </c>
    </row>
    <row r="18" spans="1:10" x14ac:dyDescent="0.25">
      <c r="B18" s="5" t="s">
        <v>162</v>
      </c>
      <c r="C18" s="18">
        <f>AVERAGE(_xlfn.ANCHORARRAY(C11))</f>
        <v>223.13754911157187</v>
      </c>
      <c r="D18" s="18">
        <f>AVERAGE(_xlfn.ANCHORARRAY(D11))</f>
        <v>263.03671051986151</v>
      </c>
      <c r="E18" s="18">
        <f t="shared" ref="E18:H18" si="0">AVERAGE(_xlfn.ANCHORARRAY(E11))</f>
        <v>18.44808573309211</v>
      </c>
      <c r="F18" s="18"/>
      <c r="G18" s="18">
        <f t="shared" ca="1" si="0"/>
        <v>-3.2024563907531101</v>
      </c>
      <c r="H18" s="18">
        <f t="shared" ca="1" si="0"/>
        <v>2.7455508167668388</v>
      </c>
    </row>
    <row r="19" spans="1:10" x14ac:dyDescent="0.25">
      <c r="B19" s="5" t="s">
        <v>172</v>
      </c>
      <c r="C19" s="18">
        <f>_xlfn.STDEV.P(_xlfn.ANCHORARRAY(C11))</f>
        <v>91.28808902659479</v>
      </c>
      <c r="D19" s="18">
        <f t="shared" ref="D19:H19" si="1">_xlfn.STDEV.P(_xlfn.ANCHORARRAY(D11))</f>
        <v>68.802664351784685</v>
      </c>
      <c r="E19" s="18">
        <f t="shared" si="1"/>
        <v>26.173330114773318</v>
      </c>
      <c r="F19" s="18"/>
      <c r="G19" s="18">
        <f t="shared" ca="1" si="1"/>
        <v>9.4412207117334059</v>
      </c>
      <c r="H19" s="18">
        <f t="shared" ca="1" si="1"/>
        <v>10.05651843822351</v>
      </c>
    </row>
    <row r="22" spans="1:10" x14ac:dyDescent="0.25">
      <c r="A22" s="5" t="s">
        <v>173</v>
      </c>
      <c r="B22" s="5" t="str" cm="1">
        <f t="array" ref="B22:B29">_xlfn._xlws.FILTER(curve[ticker],curve[RH sector]=A22)</f>
        <v>SESGFP</v>
      </c>
      <c r="C22" s="18" cm="1">
        <f t="array" ref="C22:C29">_xlfn._xlws.FILTER(curve[short spread],curve[RH sector]=A22)</f>
        <v>354.2453777629097</v>
      </c>
      <c r="D22" s="18" cm="1">
        <f t="array" ref="D22:D29">_xlfn._xlws.FILTER(curve[long spread],curve[RH sector]=A22)</f>
        <v>463.41367448755318</v>
      </c>
      <c r="E22" s="18" cm="1">
        <f t="array" ref="E22:E29">_xlfn._xlws.FILTER(curve[curve per year],curve[RH sector]=A22)</f>
        <v>52.637289702106834</v>
      </c>
      <c r="F22" s="5" t="str" cm="1">
        <f t="array" ref="F22:F29">_xlfn._xlws.FILTER(curve[short rating],curve[RH sector]=A22)</f>
        <v>BB</v>
      </c>
      <c r="G22" s="18" cm="1">
        <f t="array" aca="1" ref="G22:G29" ca="1">_xlfn._xlws.FILTER(curve[curve change (14d)],curve[RH sector]=A22)</f>
        <v>-4.4391634022524755</v>
      </c>
      <c r="H22" s="18" cm="1">
        <f t="array" aca="1" ref="H22:H29" ca="1">_xlfn._xlws.FILTER(curve[curve change (30d)],curve[RH sector]=A22)</f>
        <v>-1.8778952384479837</v>
      </c>
      <c r="J22" s="5" t="str" cm="1">
        <f t="array" ref="J22:J29">_xlfn._xlws.FILTER(curve[RH sector],curve[RH sector]=A22)</f>
        <v>TMT/ AUTO</v>
      </c>
    </row>
    <row r="23" spans="1:10" x14ac:dyDescent="0.25">
      <c r="B23" s="5" t="str">
        <v>ORAFP</v>
      </c>
      <c r="C23" s="18">
        <v>213.48904851858163</v>
      </c>
      <c r="D23" s="18">
        <v>245.33404795369057</v>
      </c>
      <c r="E23" s="18">
        <v>12.020087687502341</v>
      </c>
      <c r="F23" s="5" t="str">
        <v>BBB-</v>
      </c>
      <c r="G23" s="18">
        <f ca="1"/>
        <v>2.8898033028074117</v>
      </c>
      <c r="H23" s="18">
        <f ca="1"/>
        <v>-1.8061274107396414</v>
      </c>
      <c r="J23" s="5" t="str">
        <v>TMT/ AUTO</v>
      </c>
    </row>
    <row r="24" spans="1:10" x14ac:dyDescent="0.25">
      <c r="B24" s="5" t="str">
        <v>TELIAS</v>
      </c>
      <c r="C24" s="18">
        <v>240.20340281253283</v>
      </c>
      <c r="D24" s="18">
        <v>266.8804363749901</v>
      </c>
      <c r="E24" s="18">
        <v>9.3267406612039299</v>
      </c>
      <c r="F24" s="5" t="str">
        <v>BBB-</v>
      </c>
      <c r="G24" s="18">
        <f ca="1"/>
        <v>1.7197770596713688</v>
      </c>
      <c r="H24" s="18">
        <f ca="1"/>
        <v>-7.5359796453094798</v>
      </c>
      <c r="J24" s="5" t="str">
        <v>TMT/ AUTO</v>
      </c>
    </row>
    <row r="25" spans="1:10" x14ac:dyDescent="0.25">
      <c r="B25" s="5" t="str">
        <v>IFXGR</v>
      </c>
      <c r="C25" s="18">
        <v>354.15760111662445</v>
      </c>
      <c r="D25" s="18">
        <v>377.56035631161535</v>
      </c>
      <c r="E25" s="18">
        <v>7.8009183983303005</v>
      </c>
      <c r="F25" s="5" t="str">
        <v>NR</v>
      </c>
      <c r="G25" s="18">
        <f ca="1"/>
        <v>4.1509183983303046</v>
      </c>
      <c r="H25" s="18">
        <f ca="1"/>
        <v>-6.0337482683363719</v>
      </c>
      <c r="J25" s="5" t="str">
        <v>TMT/ AUTO</v>
      </c>
    </row>
    <row r="26" spans="1:10" x14ac:dyDescent="0.25">
      <c r="B26" s="5" t="str">
        <v>VW</v>
      </c>
      <c r="C26" s="18">
        <v>381.39226707444124</v>
      </c>
      <c r="D26" s="18">
        <v>398.55349865938547</v>
      </c>
      <c r="E26" s="18">
        <v>2.3610439232961347</v>
      </c>
      <c r="F26" s="5" t="str">
        <v>BBB-</v>
      </c>
      <c r="G26" s="18">
        <f ca="1"/>
        <v>1.6884148241630763</v>
      </c>
      <c r="H26" s="18">
        <f ca="1"/>
        <v>-1.5188524204656475</v>
      </c>
      <c r="J26" s="5" t="str">
        <v>TMT/ AUTO</v>
      </c>
    </row>
    <row r="27" spans="1:10" x14ac:dyDescent="0.25">
      <c r="B27" s="5" t="str">
        <v>BERTEL</v>
      </c>
      <c r="C27" s="18">
        <v>350.59474142635855</v>
      </c>
      <c r="D27" s="18">
        <v>371.60924784107738</v>
      </c>
      <c r="E27" s="18">
        <v>5.2500306922466597</v>
      </c>
      <c r="F27" s="5" t="str">
        <v>BB+</v>
      </c>
      <c r="G27" s="18">
        <f ca="1"/>
        <v>6.0210026292760945</v>
      </c>
      <c r="H27" s="18">
        <f ca="1"/>
        <v>8.500554306209704</v>
      </c>
      <c r="J27" s="5" t="str">
        <v>TMT/ AUTO</v>
      </c>
    </row>
    <row r="28" spans="1:10" x14ac:dyDescent="0.25">
      <c r="B28" s="5" t="str">
        <v>TELEFO</v>
      </c>
      <c r="C28" s="18">
        <v>376.27144556373077</v>
      </c>
      <c r="D28" s="18">
        <v>382.25833678682505</v>
      </c>
      <c r="E28" s="18">
        <v>1.5732291550967716</v>
      </c>
      <c r="F28" s="5" t="str">
        <v>BB</v>
      </c>
      <c r="G28" s="18">
        <f ca="1"/>
        <v>8.6164940939016663</v>
      </c>
      <c r="H28" s="18">
        <f ca="1"/>
        <v>2.9268036691356514</v>
      </c>
      <c r="J28" s="5" t="str">
        <v>TMT/ AUTO</v>
      </c>
    </row>
    <row r="29" spans="1:10" x14ac:dyDescent="0.25">
      <c r="B29" s="5" t="str">
        <v>VOD</v>
      </c>
      <c r="C29" s="18">
        <v>313.63070457120796</v>
      </c>
      <c r="D29" s="18">
        <v>314.93560802623728</v>
      </c>
      <c r="E29" s="18">
        <v>0.2745185942857068</v>
      </c>
      <c r="F29" s="5" t="str">
        <v>BB+</v>
      </c>
      <c r="G29" s="18">
        <f ca="1"/>
        <v>-1.1793805411609792</v>
      </c>
      <c r="H29" s="18">
        <f ca="1"/>
        <v>-3.8099050368382046</v>
      </c>
      <c r="J29" s="5" t="str">
        <v>TMT/ AUTO</v>
      </c>
    </row>
    <row r="31" spans="1:10" x14ac:dyDescent="0.25">
      <c r="B31" s="5" t="s">
        <v>162</v>
      </c>
      <c r="C31" s="18">
        <f>AVERAGE(_xlfn.ANCHORARRAY(C22))</f>
        <v>322.99807360579837</v>
      </c>
      <c r="D31" s="18">
        <f t="shared" ref="D31:H31" si="2">AVERAGE(_xlfn.ANCHORARRAY(D22))</f>
        <v>352.5681508051718</v>
      </c>
      <c r="E31" s="18">
        <f t="shared" si="2"/>
        <v>11.405482351758584</v>
      </c>
      <c r="F31" s="18"/>
      <c r="G31" s="18">
        <f t="shared" ca="1" si="2"/>
        <v>2.4334832955920582</v>
      </c>
      <c r="H31" s="18">
        <f t="shared" ca="1" si="2"/>
        <v>-1.3943937555989969</v>
      </c>
    </row>
    <row r="32" spans="1:10" x14ac:dyDescent="0.25">
      <c r="B32" s="5" t="s">
        <v>167</v>
      </c>
      <c r="C32" s="18">
        <f>_xlfn.STDEV.P(_xlfn.ANCHORARRAY(C22))</f>
        <v>59.046329190679891</v>
      </c>
      <c r="D32" s="18">
        <f t="shared" ref="D32:H32" si="3">_xlfn.STDEV.P(_xlfn.ANCHORARRAY(D22))</f>
        <v>67.572006674699793</v>
      </c>
      <c r="E32" s="18">
        <f t="shared" si="3"/>
        <v>16.039080140852988</v>
      </c>
      <c r="F32" s="18"/>
      <c r="G32" s="18">
        <f t="shared" ca="1" si="3"/>
        <v>3.8014518630599117</v>
      </c>
      <c r="H32" s="18">
        <f t="shared" ca="1" si="3"/>
        <v>4.7707299606653439</v>
      </c>
    </row>
    <row r="35" spans="1:10" x14ac:dyDescent="0.25">
      <c r="A35" s="5" t="s">
        <v>174</v>
      </c>
      <c r="B35" s="5" t="str" cm="1">
        <f t="array" ref="B35:B40">_xlfn._xlws.FILTER(curve[ticker],curve[RH sector]=A35)</f>
        <v>GYCGR</v>
      </c>
      <c r="C35" s="18" cm="1">
        <f t="array" ref="C35:C40">_xlfn._xlws.FILTER(curve[short spread],curve[RH sector]=A35)</f>
        <v>262.36630470958085</v>
      </c>
      <c r="D35" s="18" cm="1">
        <f t="array" ref="D35:D40">_xlfn._xlws.FILTER(curve[long spread],curve[RH sector]=A35)</f>
        <v>324.69586972020187</v>
      </c>
      <c r="E35" s="18" cm="1">
        <f t="array" ref="E35:E40">_xlfn._xlws.FILTER(curve[curve per year],curve[RH sector]=A35)</f>
        <v>43.666585851970581</v>
      </c>
      <c r="F35" s="5" t="str" cm="1">
        <f t="array" ref="F35:F40">_xlfn._xlws.FILTER(curve[short rating],curve[RH sector]=A35)</f>
        <v>BBB-</v>
      </c>
      <c r="G35" s="18" cm="1">
        <f t="array" aca="1" ref="G35:G40" ca="1">_xlfn._xlws.FILTER(curve[curve change (14d)],curve[RH sector]=A35)</f>
        <v>-1.9219842056109968</v>
      </c>
      <c r="H35" s="18" cm="1">
        <f t="array" aca="1" ref="H35:H40" ca="1">_xlfn._xlws.FILTER(curve[curve change (30d)],curve[RH sector]=A35)</f>
        <v>-8.0254007123288602</v>
      </c>
      <c r="J35" s="5" t="str" cm="1">
        <f t="array" ref="J35:J40">_xlfn._xlws.FILTER(curve[RH sector],curve[RH sector]=A35)</f>
        <v>REIT</v>
      </c>
    </row>
    <row r="36" spans="1:10" x14ac:dyDescent="0.25">
      <c r="B36" s="5" t="str">
        <v>ACFP</v>
      </c>
      <c r="C36" s="18">
        <v>694.07454242438882</v>
      </c>
      <c r="D36" s="18">
        <v>740.15026195502458</v>
      </c>
      <c r="E36" s="18">
        <v>45.94982958656297</v>
      </c>
      <c r="F36" s="5" t="str">
        <v>BB</v>
      </c>
      <c r="G36" s="18">
        <f ca="1"/>
        <v>42.256947072901795</v>
      </c>
      <c r="H36" s="18">
        <f ca="1"/>
        <v>30.289733958147696</v>
      </c>
      <c r="J36" s="5" t="str">
        <v>REIT</v>
      </c>
    </row>
    <row r="37" spans="1:10" x14ac:dyDescent="0.25">
      <c r="B37" s="5" t="str">
        <v>AKFAST</v>
      </c>
      <c r="C37" s="18">
        <v>396.72454133060057</v>
      </c>
      <c r="D37" s="18">
        <v>427.00369466330238</v>
      </c>
      <c r="E37" s="18">
        <v>11.572660697838913</v>
      </c>
      <c r="F37" s="5" t="str">
        <v>NR</v>
      </c>
      <c r="G37" s="18">
        <f ca="1"/>
        <v>0.83401671878130657</v>
      </c>
      <c r="H37" s="18">
        <f ca="1"/>
        <v>0.17816331563996357</v>
      </c>
      <c r="J37" s="5" t="str">
        <v>REIT</v>
      </c>
    </row>
    <row r="38" spans="1:10" x14ac:dyDescent="0.25">
      <c r="B38" s="5" t="str">
        <v>SBBBSS</v>
      </c>
      <c r="C38" s="18">
        <v>473.37623241017246</v>
      </c>
      <c r="D38" s="18">
        <v>487.60404706393723</v>
      </c>
      <c r="E38" s="18">
        <v>18.680404131741511</v>
      </c>
      <c r="F38" s="5" t="str">
        <v>BB</v>
      </c>
      <c r="G38" s="18">
        <f ca="1"/>
        <v>7.1487674410940087</v>
      </c>
      <c r="H38" s="18">
        <f ca="1"/>
        <v>84.472310606561678</v>
      </c>
      <c r="J38" s="5" t="str">
        <v>REIT</v>
      </c>
    </row>
    <row r="39" spans="1:10" x14ac:dyDescent="0.25">
      <c r="B39" s="5" t="str">
        <v>CPIPGR</v>
      </c>
      <c r="C39" s="18">
        <v>540.83480941054268</v>
      </c>
      <c r="D39" s="18">
        <v>554.18657942723155</v>
      </c>
      <c r="E39" s="18">
        <v>6.8930637285593201</v>
      </c>
      <c r="F39" s="5" t="str">
        <v>BB+</v>
      </c>
      <c r="G39" s="18">
        <f ca="1"/>
        <v>-9.2500550833218718</v>
      </c>
      <c r="H39" s="18">
        <f ca="1"/>
        <v>1.040673346663981</v>
      </c>
      <c r="J39" s="5" t="str">
        <v>REIT</v>
      </c>
    </row>
    <row r="40" spans="1:10" x14ac:dyDescent="0.25">
      <c r="B40" s="5" t="str">
        <v>ULFP</v>
      </c>
      <c r="C40" s="18">
        <v>697.96650056835654</v>
      </c>
      <c r="D40" s="18">
        <v>552.41533683757496</v>
      </c>
      <c r="E40" s="18">
        <v>-58.06139318222435</v>
      </c>
      <c r="F40" s="5" t="str">
        <v>BBB</v>
      </c>
      <c r="G40" s="18">
        <f ca="1"/>
        <v>-21.296917772388277</v>
      </c>
      <c r="H40" s="18">
        <f ca="1"/>
        <v>2.806246162037958</v>
      </c>
      <c r="J40" s="5" t="str">
        <v>REIT</v>
      </c>
    </row>
    <row r="42" spans="1:10" x14ac:dyDescent="0.25">
      <c r="B42" s="5" t="s">
        <v>162</v>
      </c>
      <c r="C42" s="18">
        <f>AVERAGE(_xlfn.ANCHORARRAY(C35))</f>
        <v>510.8904884756069</v>
      </c>
      <c r="D42" s="18">
        <f t="shared" ref="D42:E42" si="4">AVERAGE(_xlfn.ANCHORARRAY(D35))</f>
        <v>514.34263161121214</v>
      </c>
      <c r="E42" s="18">
        <f t="shared" si="4"/>
        <v>11.450191802408158</v>
      </c>
      <c r="G42" s="18">
        <f t="shared" ref="G42:H42" ca="1" si="5">AVERAGE(_xlfn.ANCHORARRAY(G35))</f>
        <v>2.9617956952426603</v>
      </c>
      <c r="H42" s="18">
        <f t="shared" ca="1" si="5"/>
        <v>18.460287779453736</v>
      </c>
    </row>
    <row r="43" spans="1:10" x14ac:dyDescent="0.25">
      <c r="B43" s="5" t="s">
        <v>167</v>
      </c>
      <c r="C43" s="18">
        <f>_xlfn.STDEV.P(_xlfn.ANCHORARRAY(C35))</f>
        <v>155.80754532976502</v>
      </c>
      <c r="D43" s="18">
        <f t="shared" ref="D43:E43" si="6">_xlfn.STDEV.P(_xlfn.ANCHORARRAY(D35))</f>
        <v>128.02024129594713</v>
      </c>
      <c r="E43" s="18">
        <f t="shared" si="6"/>
        <v>34.479558884237008</v>
      </c>
      <c r="G43" s="18">
        <f t="shared" ref="G43:H43" ca="1" si="7">_xlfn.STDEV.P(_xlfn.ANCHORARRAY(G35))</f>
        <v>19.696162410602152</v>
      </c>
      <c r="H43" s="18">
        <f t="shared" ca="1" si="7"/>
        <v>31.837458834843698</v>
      </c>
    </row>
    <row r="46" spans="1:10" x14ac:dyDescent="0.25">
      <c r="A46" s="5" t="s">
        <v>175</v>
      </c>
      <c r="B46" s="5" t="str" cm="1">
        <f t="array" ref="B46:B49">_xlfn._xlws.FILTER(curve[ticker],curve[RH sector]=A46)</f>
        <v>REPSM</v>
      </c>
      <c r="C46" s="18" cm="1">
        <f t="array" ref="C46:C49">_xlfn._xlws.FILTER(curve[short spread],curve[RH sector]=A46)</f>
        <v>371.74464883476645</v>
      </c>
      <c r="D46" s="18" cm="1">
        <f t="array" ref="D46:D49">_xlfn._xlws.FILTER(curve[long spread],curve[RH sector]=A46)</f>
        <v>389.0336994008839</v>
      </c>
      <c r="E46" s="18" cm="1">
        <f t="array" ref="E46:E49">_xlfn._xlws.FILTER(curve[curve per year],curve[RH sector]=A46)</f>
        <v>17.978642326589373</v>
      </c>
      <c r="F46" s="5" t="str" cm="1">
        <f t="array" ref="F46:F49">_xlfn._xlws.FILTER(curve[short rating],curve[RH sector]=A46)</f>
        <v>BB+</v>
      </c>
      <c r="G46" s="18" cm="1">
        <f t="array" aca="1" ref="G46:G49" ca="1">_xlfn._xlws.FILTER(curve[curve change (14d)],curve[RH sector]=A46)</f>
        <v>-16.066186733239661</v>
      </c>
      <c r="H46" s="18" t="str" cm="1">
        <f t="array" aca="1" ref="H46:H49" ca="1">_xlfn._xlws.FILTER(curve[curve change (30d)],curve[RH sector]=A46)</f>
        <v>-</v>
      </c>
      <c r="J46" s="5" t="str" cm="1">
        <f t="array" ref="J46:J49">_xlfn._xlws.FILTER(curve[RH sector],curve[RH sector]=A46)</f>
        <v>Energy</v>
      </c>
    </row>
    <row r="47" spans="1:10" x14ac:dyDescent="0.25">
      <c r="B47" s="5" t="str">
        <v>BPLN</v>
      </c>
      <c r="C47" s="18">
        <v>324.25656355893534</v>
      </c>
      <c r="D47" s="18">
        <v>359.9415989956496</v>
      </c>
      <c r="E47" s="18">
        <v>11.884158699270715</v>
      </c>
      <c r="F47" s="5" t="str">
        <v>BBB+</v>
      </c>
      <c r="G47" s="18" t="str">
        <f ca="1"/>
        <v>-</v>
      </c>
      <c r="H47" s="18" t="str">
        <f ca="1"/>
        <v>-</v>
      </c>
      <c r="J47" s="5" t="str">
        <v>Energy</v>
      </c>
    </row>
    <row r="48" spans="1:10" x14ac:dyDescent="0.25">
      <c r="B48" s="5" t="str">
        <v>TOTAL</v>
      </c>
      <c r="C48" s="18">
        <v>212.14032647646678</v>
      </c>
      <c r="D48" s="18">
        <v>236.96130881618359</v>
      </c>
      <c r="E48" s="18">
        <v>7.2477268431973076</v>
      </c>
      <c r="F48" s="5" t="str">
        <v>A-</v>
      </c>
      <c r="G48" s="18">
        <f ca="1"/>
        <v>4.819454843197307</v>
      </c>
      <c r="H48" s="18">
        <f ca="1"/>
        <v>-2.2705971568026957</v>
      </c>
      <c r="J48" s="5" t="str">
        <v>Energy</v>
      </c>
    </row>
    <row r="49" spans="1:10" x14ac:dyDescent="0.25">
      <c r="B49" s="5" t="str">
        <v>OMVAV</v>
      </c>
      <c r="C49" s="18">
        <v>294.91114796592603</v>
      </c>
      <c r="D49" s="18">
        <v>296.87237203567099</v>
      </c>
      <c r="E49" s="18">
        <v>1.1362647388204914</v>
      </c>
      <c r="F49" s="5" t="str">
        <v>BBB</v>
      </c>
      <c r="G49" s="18">
        <f ca="1"/>
        <v>-1.4981082770525391</v>
      </c>
      <c r="H49" s="18">
        <f ca="1"/>
        <v>-9.6318146262588815</v>
      </c>
      <c r="J49" s="5" t="str">
        <v>Energy</v>
      </c>
    </row>
    <row r="53" spans="1:10" x14ac:dyDescent="0.25">
      <c r="A53" s="5" t="s">
        <v>176</v>
      </c>
      <c r="B53" s="5" t="str" cm="1">
        <f t="array" ref="B53:B63">_xlfn._xlws.FILTER(curve[ticker],curve[RH sector]=A53)</f>
        <v>EDPPL</v>
      </c>
      <c r="C53" s="18" cm="1">
        <f t="array" ref="C53:C63">_xlfn._xlws.FILTER(curve[short spread],curve[RH sector]=A53)</f>
        <v>290.14796052099115</v>
      </c>
      <c r="D53" s="18" cm="1">
        <f t="array" ref="D53:D63">_xlfn._xlws.FILTER(curve[long spread],curve[RH sector]=A53)</f>
        <v>326.13138560134109</v>
      </c>
      <c r="E53" s="18" cm="1">
        <f t="array" ref="E53:E63">_xlfn._xlws.FILTER(curve[curve per year],curve[RH sector]=A53)</f>
        <v>29.448318731676522</v>
      </c>
      <c r="F53" s="5" t="str" cm="1">
        <f t="array" ref="F53:F63">_xlfn._xlws.FILTER(curve[short rating],curve[RH sector]=A53)</f>
        <v>BB</v>
      </c>
      <c r="G53" s="18" cm="1">
        <f t="array" aca="1" ref="G53:G63" ca="1">_xlfn._xlws.FILTER(curve[curve change (14d)],curve[RH sector]=A53)</f>
        <v>80.000000346026283</v>
      </c>
      <c r="H53" s="18" cm="1">
        <f t="array" aca="1" ref="H53:H63" ca="1">_xlfn._xlws.FILTER(curve[curve change (30d)],curve[RH sector]=A53)</f>
        <v>123.47510124288725</v>
      </c>
      <c r="J53" s="5" t="str" cm="1">
        <f t="array" ref="J53:J63">_xlfn._xlws.FILTER(curve[RH sector],curve[RH sector]=A53)</f>
        <v>UTILS</v>
      </c>
    </row>
    <row r="54" spans="1:10" x14ac:dyDescent="0.25">
      <c r="B54" s="5" t="str">
        <v>NTGYSM</v>
      </c>
      <c r="C54" s="18">
        <v>313.97883755071643</v>
      </c>
      <c r="D54" s="18">
        <v>342.69128186440872</v>
      </c>
      <c r="E54" s="18">
        <v>20.038321557356952</v>
      </c>
      <c r="F54" s="5" t="str">
        <v>BB+</v>
      </c>
      <c r="G54" s="18">
        <f ca="1"/>
        <v>0.46580721701277383</v>
      </c>
      <c r="H54" s="18">
        <f ca="1"/>
        <v>8.9996886701676928</v>
      </c>
      <c r="J54" s="5" t="str">
        <v>UTILS</v>
      </c>
    </row>
    <row r="55" spans="1:10" x14ac:dyDescent="0.25">
      <c r="B55" s="5" t="str">
        <v>EDF</v>
      </c>
      <c r="C55" s="18">
        <v>325.07721193414682</v>
      </c>
      <c r="D55" s="18">
        <v>357.50887889874906</v>
      </c>
      <c r="E55" s="18">
        <v>20.877528116542891</v>
      </c>
      <c r="F55" s="5" t="str">
        <v>BB+</v>
      </c>
      <c r="G55" s="18">
        <f ca="1"/>
        <v>8.5640889631037087</v>
      </c>
      <c r="H55" s="18">
        <f ca="1"/>
        <v>5.0486304093118513</v>
      </c>
      <c r="J55" s="5" t="str">
        <v>UTILS</v>
      </c>
    </row>
    <row r="56" spans="1:10" x14ac:dyDescent="0.25">
      <c r="B56" s="5" t="str">
        <v>ENELIM</v>
      </c>
      <c r="C56" s="18">
        <v>269.84863898480842</v>
      </c>
      <c r="D56" s="18">
        <v>306.75918125557791</v>
      </c>
      <c r="E56" s="18">
        <v>12.292288256232542</v>
      </c>
      <c r="F56" s="5" t="str">
        <v>BBB-</v>
      </c>
      <c r="G56" s="18">
        <f ca="1"/>
        <v>-1.9566989700448296</v>
      </c>
      <c r="H56" s="18">
        <f ca="1"/>
        <v>0.84640778177997866</v>
      </c>
      <c r="J56" s="5" t="str">
        <v>UTILS</v>
      </c>
    </row>
    <row r="57" spans="1:10" x14ac:dyDescent="0.25">
      <c r="B57" s="5" t="str">
        <v>SEVFP</v>
      </c>
      <c r="C57" s="18">
        <v>252.07128190560547</v>
      </c>
      <c r="D57" s="18">
        <v>290.73825098184477</v>
      </c>
      <c r="E57" s="18">
        <v>9.260789837813217</v>
      </c>
      <c r="F57" s="5" t="str">
        <v>NR</v>
      </c>
      <c r="G57" s="18">
        <f ca="1"/>
        <v>-1.485873548013549</v>
      </c>
      <c r="H57" s="18">
        <f ca="1"/>
        <v>-1.4688689548377045</v>
      </c>
      <c r="J57" s="5" t="str">
        <v>UTILS</v>
      </c>
    </row>
    <row r="58" spans="1:10" x14ac:dyDescent="0.25">
      <c r="B58" s="5" t="str">
        <v>NGGLN</v>
      </c>
      <c r="C58" s="18">
        <v>233.49571086423566</v>
      </c>
      <c r="D58" s="18">
        <v>264.17517809241184</v>
      </c>
      <c r="E58" s="18">
        <v>11.164512002277473</v>
      </c>
      <c r="F58" s="5" t="str">
        <v>BBB-</v>
      </c>
      <c r="G58" s="18">
        <f ca="1"/>
        <v>-2.2844461233456546</v>
      </c>
      <c r="H58" s="18">
        <f ca="1"/>
        <v>-4.5672427335151546</v>
      </c>
      <c r="J58" s="5" t="str">
        <v>UTILS</v>
      </c>
    </row>
    <row r="59" spans="1:10" x14ac:dyDescent="0.25">
      <c r="B59" s="5" t="str">
        <v>ORSTED</v>
      </c>
      <c r="C59" s="18">
        <v>183.46531881143321</v>
      </c>
      <c r="D59" s="18">
        <v>222.71464122437737</v>
      </c>
      <c r="E59" s="18">
        <v>9.3268246619300932</v>
      </c>
      <c r="F59" s="5" t="str">
        <v>BB+</v>
      </c>
      <c r="G59" s="18">
        <f ca="1"/>
        <v>-0.90458158806990419</v>
      </c>
      <c r="H59" s="18">
        <f ca="1"/>
        <v>-1.011277551611574</v>
      </c>
      <c r="J59" s="5" t="str">
        <v>UTILS</v>
      </c>
    </row>
    <row r="60" spans="1:10" x14ac:dyDescent="0.25">
      <c r="B60" s="5" t="str">
        <v>ENBW</v>
      </c>
      <c r="C60" s="18">
        <v>210.05202425278085</v>
      </c>
      <c r="D60" s="18">
        <v>232.76921308114501</v>
      </c>
      <c r="E60" s="18">
        <v>8.2669730033428888</v>
      </c>
      <c r="F60" s="5" t="str">
        <v>BBB-</v>
      </c>
      <c r="G60" s="18">
        <f ca="1"/>
        <v>-1.1196770465075527</v>
      </c>
      <c r="H60" s="18">
        <f ca="1"/>
        <v>5.5018865755650737E-2</v>
      </c>
      <c r="J60" s="5" t="str">
        <v>UTILS</v>
      </c>
    </row>
    <row r="61" spans="1:10" x14ac:dyDescent="0.25">
      <c r="B61" s="5" t="str">
        <v>IBESM</v>
      </c>
      <c r="C61" s="18">
        <v>213.05160684913224</v>
      </c>
      <c r="D61" s="18">
        <v>214.51604056760806</v>
      </c>
      <c r="E61" s="18">
        <v>0.8497906315479703</v>
      </c>
      <c r="F61" s="5" t="str">
        <v>BBB-</v>
      </c>
      <c r="G61" s="18">
        <f ca="1"/>
        <v>6.990378866842101</v>
      </c>
      <c r="H61" s="18">
        <f ca="1"/>
        <v>-1.7336433907095805</v>
      </c>
      <c r="J61" s="5" t="str">
        <v>UTILS</v>
      </c>
    </row>
    <row r="62" spans="1:10" x14ac:dyDescent="0.25">
      <c r="B62" s="5" t="str">
        <v>ENGIFP</v>
      </c>
      <c r="C62" s="18">
        <v>253.31853430339621</v>
      </c>
      <c r="D62" s="18">
        <v>248.53902978143071</v>
      </c>
      <c r="E62" s="18">
        <v>-2.1457800129365374</v>
      </c>
      <c r="F62" s="5" t="str">
        <v>BBB</v>
      </c>
      <c r="G62" s="18">
        <f ca="1"/>
        <v>16.130708301946626</v>
      </c>
      <c r="H62" s="18">
        <f ca="1"/>
        <v>2.5103269981335652</v>
      </c>
      <c r="J62" s="5" t="str">
        <v>UTILS</v>
      </c>
    </row>
    <row r="63" spans="1:10" x14ac:dyDescent="0.25">
      <c r="B63" s="5" t="str">
        <v>RWE</v>
      </c>
      <c r="C63" s="18">
        <v>273.50629717213661</v>
      </c>
      <c r="D63" s="18">
        <v>286.81303879528588</v>
      </c>
      <c r="E63" s="18">
        <v>2.9561537994214739</v>
      </c>
      <c r="F63" s="5" t="str">
        <v>BB</v>
      </c>
      <c r="G63" s="18">
        <f ca="1"/>
        <v>7.9166437568164856</v>
      </c>
      <c r="H63" s="18">
        <f ca="1"/>
        <v>20.722745400151847</v>
      </c>
      <c r="J63" s="5" t="str">
        <v>UTILS</v>
      </c>
    </row>
  </sheetData>
  <conditionalFormatting sqref="E11:E16"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{4DFA15B0-F762-43C1-ABA5-6AFA7B2C3DC7}</x14:id>
        </ext>
      </extLst>
    </cfRule>
  </conditionalFormatting>
  <conditionalFormatting sqref="E22:E29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{AE91AAA4-073D-462D-8C22-0D16FA753E30}</x14:id>
        </ext>
      </extLst>
    </cfRule>
  </conditionalFormatting>
  <conditionalFormatting sqref="E35:E40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{31F2C5F2-85A0-45B6-B9B8-437E9EE29260}</x14:id>
        </ext>
      </extLst>
    </cfRule>
  </conditionalFormatting>
  <conditionalFormatting sqref="E46:E49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{DF39ED6A-2787-498E-848D-8D92E8BAD827}</x14:id>
        </ext>
      </extLst>
    </cfRule>
  </conditionalFormatting>
  <conditionalFormatting sqref="E53:E63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{3F0BF3A0-F004-428A-86FB-24D9B3AF8310}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DFA15B0-F762-43C1-ABA5-6AFA7B2C3DC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E11:E16</xm:sqref>
        </x14:conditionalFormatting>
        <x14:conditionalFormatting xmlns:xm="http://schemas.microsoft.com/office/excel/2006/main">
          <x14:cfRule type="dataBar" id="{AE91AAA4-073D-462D-8C22-0D16FA753E3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E22:E29</xm:sqref>
        </x14:conditionalFormatting>
        <x14:conditionalFormatting xmlns:xm="http://schemas.microsoft.com/office/excel/2006/main">
          <x14:cfRule type="dataBar" id="{31F2C5F2-85A0-45B6-B9B8-437E9EE2926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E35:E40</xm:sqref>
        </x14:conditionalFormatting>
        <x14:conditionalFormatting xmlns:xm="http://schemas.microsoft.com/office/excel/2006/main">
          <x14:cfRule type="dataBar" id="{DF39ED6A-2787-498E-848D-8D92E8BAD82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E46:E49</xm:sqref>
        </x14:conditionalFormatting>
        <x14:conditionalFormatting xmlns:xm="http://schemas.microsoft.com/office/excel/2006/main">
          <x14:cfRule type="dataBar" id="{3F0BF3A0-F004-428A-86FB-24D9B3AF831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E53:E63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</sheetPr>
  <dimension ref="B1:AA196"/>
  <sheetViews>
    <sheetView workbookViewId="0">
      <selection activeCell="B35" sqref="B35"/>
    </sheetView>
  </sheetViews>
  <sheetFormatPr defaultColWidth="8.7265625" defaultRowHeight="10.5" x14ac:dyDescent="0.25"/>
  <cols>
    <col min="1" max="1" width="8.7265625" style="5"/>
    <col min="2" max="2" width="32.1796875" style="5" bestFit="1" customWidth="1"/>
    <col min="3" max="3" width="16.453125" style="5" bestFit="1" customWidth="1"/>
    <col min="4" max="4" width="8.7265625" style="5"/>
    <col min="5" max="5" width="14.81640625" style="5" bestFit="1" customWidth="1"/>
    <col min="6" max="6" width="9.1796875" style="5" customWidth="1"/>
    <col min="7" max="7" width="20.1796875" style="5" bestFit="1" customWidth="1"/>
    <col min="8" max="9" width="8.7265625" style="5"/>
    <col min="10" max="10" width="12.81640625" style="8" customWidth="1"/>
    <col min="11" max="11" width="9.453125" style="5" bestFit="1" customWidth="1"/>
    <col min="12" max="12" width="8.7265625" style="5"/>
    <col min="13" max="13" width="12.54296875" style="10" bestFit="1" customWidth="1"/>
    <col min="14" max="14" width="21.1796875" style="5" bestFit="1" customWidth="1"/>
    <col min="15" max="15" width="25.7265625" style="5" bestFit="1" customWidth="1"/>
    <col min="16" max="16" width="8.7265625" style="5"/>
    <col min="17" max="17" width="12.54296875" style="5" bestFit="1" customWidth="1"/>
    <col min="18" max="20" width="8.7265625" style="5"/>
    <col min="21" max="21" width="21.1796875" style="5" bestFit="1" customWidth="1"/>
    <col min="22" max="16384" width="8.7265625" style="5"/>
  </cols>
  <sheetData>
    <row r="1" spans="2:27" ht="11" x14ac:dyDescent="0.3">
      <c r="B1" s="4" t="s">
        <v>177</v>
      </c>
      <c r="C1" s="4" t="s">
        <v>178</v>
      </c>
      <c r="E1" s="6" t="s">
        <v>179</v>
      </c>
      <c r="F1" s="6" t="s">
        <v>180</v>
      </c>
      <c r="G1" s="6" t="s">
        <v>181</v>
      </c>
      <c r="H1" s="6" t="s">
        <v>2</v>
      </c>
      <c r="I1" s="6" t="s">
        <v>182</v>
      </c>
      <c r="J1" s="7" t="s">
        <v>183</v>
      </c>
      <c r="K1" s="7" t="s">
        <v>184</v>
      </c>
      <c r="L1" s="7" t="s">
        <v>185</v>
      </c>
      <c r="M1" s="3" t="s">
        <v>186</v>
      </c>
      <c r="N1" s="4" t="s">
        <v>187</v>
      </c>
      <c r="O1" s="4" t="s">
        <v>188</v>
      </c>
      <c r="Q1" s="4" t="s">
        <v>189</v>
      </c>
      <c r="R1" s="4" t="s">
        <v>190</v>
      </c>
      <c r="S1" s="4" t="s">
        <v>191</v>
      </c>
      <c r="T1" s="4" t="s">
        <v>192</v>
      </c>
      <c r="U1" s="2" t="s">
        <v>193</v>
      </c>
      <c r="V1" s="4" t="s">
        <v>194</v>
      </c>
      <c r="X1" s="2" t="s">
        <v>195</v>
      </c>
      <c r="Z1" s="4" t="s">
        <v>196</v>
      </c>
      <c r="AA1" s="4" t="s">
        <v>197</v>
      </c>
    </row>
    <row r="2" spans="2:27" x14ac:dyDescent="0.25">
      <c r="B2" s="5" t="str">
        <f>_xll.BTCWGETALL("cols=2;rows=9")</f>
        <v>w-4A117247396F4841B545D5F8AB67C413</v>
      </c>
      <c r="C2" s="5" t="s">
        <v>198</v>
      </c>
      <c r="E2" s="5" t="str">
        <f>_xll.BTCWGET(_xlfn.XLOOKUP(B19,C:C,B:B),"cols=1;rows=195")</f>
        <v>QJ937853 Corp</v>
      </c>
      <c r="F2" s="5" t="str" cm="1">
        <f t="array" ref="F2">_xll.BDP(bonds[[#This Row],[worksheet get]],bonds[[#Headers],[ID_ISIN]])</f>
        <v>XS1323897485</v>
      </c>
      <c r="G2" s="5" t="str" cm="1">
        <f t="array" ref="G2">_xll.BDP(bonds[[#This Row],[worksheet get]],bonds[[#Headers],[security name]])</f>
        <v>SOLBBB 5.118 PERP</v>
      </c>
      <c r="H2" s="5" t="str" cm="1">
        <f t="array" ref="H2">_xll.BDP(bonds[[#This Row],[worksheet get]],bonds[[#Headers],[ticker]])</f>
        <v>SOLBBB</v>
      </c>
      <c r="I2" s="5" cm="1">
        <f t="array" ref="I2">_xll.BDP(bonds[[#This Row],[worksheet get]],bonds[[#Headers],[coupon]])</f>
        <v>5.1180000000000003</v>
      </c>
      <c r="J2" s="8" cm="1">
        <f t="array" ref="J2">_xll.BDP(bonds[[#This Row],[worksheet get]],bonds[[#Headers],[nxt_call_dt]])*1</f>
        <v>44349</v>
      </c>
      <c r="K2" s="9" t="str" cm="1">
        <f t="array" ref="K2">_xll.BDP(bonds[[#This Row],[worksheet get]],bonds[[#Headers],[mty_typ]])</f>
        <v>PERP/CALL</v>
      </c>
      <c r="L2" s="9" t="str" cm="1">
        <f t="array" ref="L2">_xll.BDP(bonds[[#This Row],[worksheet get]],bonds[[#Headers],[crncy]])</f>
        <v>EUR</v>
      </c>
      <c r="M2" s="10" cm="1">
        <f t="array" ref="M2">_xll.BDP(bonds[[#This Row],[worksheet get]],bonds[[#Headers],[amt_outstanding]])</f>
        <v>500000000</v>
      </c>
      <c r="N2" s="9" t="str" cm="1">
        <f t="array" ref="N2">_xll.BDP(bonds[[#This Row],[worksheet get]],bonds[[#Headers],[industry_sector]])</f>
        <v>Basic Materials</v>
      </c>
      <c r="O2" s="9" t="str">
        <f>bonds[[#This Row],[security name]]&amp;" nc-"&amp;RIGHT(YEAR(bonds[[#This Row],[nxt_call_dt]]),2)</f>
        <v>SOLBBB 5.118 PERP nc-21</v>
      </c>
      <c r="Q2" s="5" t="str" cm="1">
        <f t="array" ref="Q2:Q71">_xlfn.UNIQUE(bonds[ticker])</f>
        <v>SOLBBB</v>
      </c>
      <c r="R2" s="5" t="str" cm="1">
        <f t="array" ref="R2:R26">_xlfn.UNIQUE(bonds[ticker],FALSE,TRUE)</f>
        <v>FIRMEN</v>
      </c>
      <c r="S2" s="5" t="str" cm="1">
        <f t="array" ref="S2:S46">_xlfn._xlws.SORT(_xlfn._xlws.FILTER(_xlfn.ANCHORARRAY(Q2),NOT(ISNUMBER(_xlfn.XMATCH(_xlfn.ANCHORARRAY(Q2),_xlfn.ANCHORARRAY(R2))))*(_xlfn.ANCHORARRAY(Q2)&lt;&gt;0)*(LEFT(_xlfn.ANCHORARRAY(Q2),4)&lt;&gt;"#N/A")*(Q2&lt;&gt;"NA error")))</f>
        <v>ACFP</v>
      </c>
      <c r="T2" s="5" cm="1">
        <f t="array" ref="T2:T46">COUNTIF(bonds[ticker],_xlfn.ANCHORARRAY(S2))</f>
        <v>3</v>
      </c>
      <c r="U2" s="5" t="str" cm="1">
        <f t="array" ref="U2:U10">_xlfn.UNIQUE(bonds[industry_sector])</f>
        <v>Basic Materials</v>
      </c>
      <c r="V2" s="5" cm="1">
        <f t="array" ref="V2:V10">COUNTIF(bonds[industry_sector],_xlfn.ANCHORARRAY(U2))</f>
        <v>15</v>
      </c>
      <c r="X2" s="1" t="s">
        <v>36</v>
      </c>
      <c r="Z2" s="5" t="s">
        <v>32</v>
      </c>
      <c r="AA2" s="5" t="s">
        <v>171</v>
      </c>
    </row>
    <row r="3" spans="2:27" x14ac:dyDescent="0.25">
      <c r="B3" s="5" t="s">
        <v>199</v>
      </c>
      <c r="C3" s="5" t="s">
        <v>200</v>
      </c>
      <c r="E3" s="5" t="s">
        <v>201</v>
      </c>
      <c r="F3" s="5" t="str" cm="1">
        <f t="array" ref="F3">_xll.BDP(bonds[[#This Row],[worksheet get]],bonds[[#Headers],[ID_ISIN]])</f>
        <v>XS0992293901</v>
      </c>
      <c r="G3" s="5" t="str" cm="1">
        <f t="array" ref="G3">_xll.BDP(bonds[[#This Row],[worksheet get]],bonds[[#Headers],[security name]])</f>
        <v>SOLBBB 5.425 PERP</v>
      </c>
      <c r="H3" s="5" t="str" cm="1">
        <f t="array" ref="H3">_xll.BDP(bonds[[#This Row],[worksheet get]],bonds[[#Headers],[ticker]])</f>
        <v>SOLBBB</v>
      </c>
      <c r="I3" s="5" cm="1">
        <f t="array" ref="I3">_xll.BDP(bonds[[#This Row],[worksheet get]],bonds[[#Headers],[coupon]])</f>
        <v>5.4249999999999998</v>
      </c>
      <c r="J3" s="8" cm="1">
        <f t="array" ref="J3">_xll.BDP(bonds[[#This Row],[worksheet get]],bonds[[#Headers],[nxt_call_dt]])*1</f>
        <v>45242</v>
      </c>
      <c r="K3" s="9" t="str" cm="1">
        <f t="array" ref="K3">_xll.BDP(bonds[[#This Row],[worksheet get]],bonds[[#Headers],[mty_typ]])</f>
        <v>PERP/CALL</v>
      </c>
      <c r="L3" s="9" t="str" cm="1">
        <f t="array" ref="L3">_xll.BDP(bonds[[#This Row],[worksheet get]],bonds[[#Headers],[crncy]])</f>
        <v>EUR</v>
      </c>
      <c r="M3" s="10" cm="1">
        <f t="array" ref="M3">_xll.BDP(bonds[[#This Row],[worksheet get]],bonds[[#Headers],[amt_outstanding]])</f>
        <v>500000000</v>
      </c>
      <c r="N3" s="9" t="str" cm="1">
        <f t="array" ref="N3">_xll.BDP(bonds[[#This Row],[worksheet get]],bonds[[#Headers],[industry_sector]])</f>
        <v>Basic Materials</v>
      </c>
      <c r="O3" s="9" t="str">
        <f>bonds[[#This Row],[security name]]&amp;" nc-"&amp;RIGHT(YEAR(bonds[[#This Row],[nxt_call_dt]]),2)</f>
        <v>SOLBBB 5.425 PERP nc-23</v>
      </c>
      <c r="Q3" s="5" t="str">
        <v>BAYNGR</v>
      </c>
      <c r="R3" s="5" t="str">
        <v>LXSGR</v>
      </c>
      <c r="S3" s="5" t="str">
        <v>AKEFP</v>
      </c>
      <c r="T3" s="5">
        <v>3</v>
      </c>
      <c r="U3" s="5" t="str">
        <v>Consumer, Non-cyclical</v>
      </c>
      <c r="V3" s="5">
        <v>15</v>
      </c>
      <c r="X3" s="1" t="s">
        <v>202</v>
      </c>
      <c r="Z3" s="5" t="s">
        <v>64</v>
      </c>
      <c r="AA3" s="5" t="s">
        <v>171</v>
      </c>
    </row>
    <row r="4" spans="2:27" x14ac:dyDescent="0.25">
      <c r="B4" s="5" t="s">
        <v>203</v>
      </c>
      <c r="C4" s="5" t="s">
        <v>204</v>
      </c>
      <c r="E4" s="5" t="s">
        <v>205</v>
      </c>
      <c r="F4" s="5" t="str" cm="1">
        <f t="array" ref="F4">_xll.BDP(bonds[[#This Row],[worksheet get]],bonds[[#Headers],[ID_ISIN]])</f>
        <v>BE6309987400</v>
      </c>
      <c r="G4" s="5" t="str" cm="1">
        <f t="array" ref="G4">_xll.BDP(bonds[[#This Row],[worksheet get]],bonds[[#Headers],[security name]])</f>
        <v>SOLBBB 4 1/4 PERP</v>
      </c>
      <c r="H4" s="5" t="str" cm="1">
        <f t="array" ref="H4">_xll.BDP(bonds[[#This Row],[worksheet get]],bonds[[#Headers],[ticker]])</f>
        <v>SOLBBB</v>
      </c>
      <c r="I4" s="5" cm="1">
        <f t="array" ref="I4">_xll.BDP(bonds[[#This Row],[worksheet get]],bonds[[#Headers],[coupon]])</f>
        <v>4.25</v>
      </c>
      <c r="J4" s="8" cm="1">
        <f t="array" ref="J4">_xll.BDP(bonds[[#This Row],[worksheet get]],bonds[[#Headers],[nxt_call_dt]])*1</f>
        <v>45264</v>
      </c>
      <c r="K4" s="9" t="str" cm="1">
        <f t="array" ref="K4">_xll.BDP(bonds[[#This Row],[worksheet get]],bonds[[#Headers],[mty_typ]])</f>
        <v>PERP/CALL</v>
      </c>
      <c r="L4" s="9" t="str" cm="1">
        <f t="array" ref="L4">_xll.BDP(bonds[[#This Row],[worksheet get]],bonds[[#Headers],[crncy]])</f>
        <v>EUR</v>
      </c>
      <c r="M4" s="10" cm="1">
        <f t="array" ref="M4">_xll.BDP(bonds[[#This Row],[worksheet get]],bonds[[#Headers],[amt_outstanding]])</f>
        <v>300000000</v>
      </c>
      <c r="N4" s="9" t="str" cm="1">
        <f t="array" ref="N4">_xll.BDP(bonds[[#This Row],[worksheet get]],bonds[[#Headers],[industry_sector]])</f>
        <v>Basic Materials</v>
      </c>
      <c r="O4" s="9" t="str">
        <f>bonds[[#This Row],[security name]]&amp;" nc-"&amp;RIGHT(YEAR(bonds[[#This Row],[nxt_call_dt]]),2)</f>
        <v>SOLBBB 4 1/4 PERP nc-23</v>
      </c>
      <c r="Q4" s="5" t="str">
        <v>FIRMEN</v>
      </c>
      <c r="R4" s="5" t="str">
        <v>LHNVX</v>
      </c>
      <c r="S4" s="5" t="str">
        <v>AKFAST</v>
      </c>
      <c r="T4" s="5">
        <v>2</v>
      </c>
      <c r="U4" s="5" t="str">
        <v>Industrial</v>
      </c>
      <c r="V4" s="5">
        <v>5</v>
      </c>
      <c r="X4" s="1" t="s">
        <v>206</v>
      </c>
      <c r="Z4" s="5" t="s">
        <v>207</v>
      </c>
      <c r="AA4" s="5" t="s">
        <v>171</v>
      </c>
    </row>
    <row r="5" spans="2:27" x14ac:dyDescent="0.25">
      <c r="B5" s="5" t="s">
        <v>208</v>
      </c>
      <c r="C5" s="5" t="s">
        <v>204</v>
      </c>
      <c r="E5" s="5" t="s">
        <v>209</v>
      </c>
      <c r="F5" s="5" t="str" cm="1">
        <f t="array" ref="F5">_xll.BDP(bonds[[#This Row],[worksheet get]],bonds[[#Headers],[ID_ISIN]])</f>
        <v>XS1323897725</v>
      </c>
      <c r="G5" s="5" t="str" cm="1">
        <f t="array" ref="G5">_xll.BDP(bonds[[#This Row],[worksheet get]],bonds[[#Headers],[security name]])</f>
        <v>SOLBBB 5.869 PERP</v>
      </c>
      <c r="H5" s="5" t="str" cm="1">
        <f t="array" ref="H5">_xll.BDP(bonds[[#This Row],[worksheet get]],bonds[[#Headers],[ticker]])</f>
        <v>SOLBBB</v>
      </c>
      <c r="I5" s="5" cm="1">
        <f t="array" ref="I5">_xll.BDP(bonds[[#This Row],[worksheet get]],bonds[[#Headers],[coupon]])</f>
        <v>5.8689999999999998</v>
      </c>
      <c r="J5" s="8" cm="1">
        <f t="array" ref="J5">_xll.BDP(bonds[[#This Row],[worksheet get]],bonds[[#Headers],[nxt_call_dt]])*1</f>
        <v>45446</v>
      </c>
      <c r="K5" s="9" t="str" cm="1">
        <f t="array" ref="K5">_xll.BDP(bonds[[#This Row],[worksheet get]],bonds[[#Headers],[mty_typ]])</f>
        <v>PERP/CALL</v>
      </c>
      <c r="L5" s="9" t="str" cm="1">
        <f t="array" ref="L5">_xll.BDP(bonds[[#This Row],[worksheet get]],bonds[[#Headers],[crncy]])</f>
        <v>EUR</v>
      </c>
      <c r="M5" s="10" cm="1">
        <f t="array" ref="M5">_xll.BDP(bonds[[#This Row],[worksheet get]],bonds[[#Headers],[amt_outstanding]])</f>
        <v>500000000</v>
      </c>
      <c r="N5" s="9" t="str" cm="1">
        <f t="array" ref="N5">_xll.BDP(bonds[[#This Row],[worksheet get]],bonds[[#Headers],[industry_sector]])</f>
        <v>Basic Materials</v>
      </c>
      <c r="O5" s="9" t="str">
        <f>bonds[[#This Row],[security name]]&amp;" nc-"&amp;RIGHT(YEAR(bonds[[#This Row],[nxt_call_dt]]),2)</f>
        <v>SOLBBB 5.869 PERP nc-24</v>
      </c>
      <c r="Q5" s="5" t="str">
        <v>MRKGR</v>
      </c>
      <c r="R5" s="5" t="str">
        <v>EVKGR</v>
      </c>
      <c r="S5" s="5" t="str">
        <v>AMXLMM</v>
      </c>
      <c r="T5" s="5">
        <v>2</v>
      </c>
      <c r="U5" s="5" t="str">
        <v>Financial</v>
      </c>
      <c r="V5" s="5">
        <v>24</v>
      </c>
      <c r="X5" s="1" t="s">
        <v>210</v>
      </c>
      <c r="Z5" s="5" t="s">
        <v>100</v>
      </c>
      <c r="AA5" s="5" t="s">
        <v>211</v>
      </c>
    </row>
    <row r="6" spans="2:27" x14ac:dyDescent="0.25">
      <c r="B6" s="5" t="s">
        <v>212</v>
      </c>
      <c r="C6" s="5" t="s">
        <v>213</v>
      </c>
      <c r="E6" s="5" t="s">
        <v>214</v>
      </c>
      <c r="F6" s="5" t="str" cm="1">
        <f t="array" ref="F6">_xll.BDP(bonds[[#This Row],[worksheet get]],bonds[[#Headers],[ID_ISIN]])</f>
        <v>DE000A14J611</v>
      </c>
      <c r="G6" s="5" t="str" cm="1">
        <f t="array" ref="G6">_xll.BDP(bonds[[#This Row],[worksheet get]],bonds[[#Headers],[security name]])</f>
        <v>BAYNGR 2 3/8 04/02/75</v>
      </c>
      <c r="H6" s="5" t="str" cm="1">
        <f t="array" ref="H6">_xll.BDP(bonds[[#This Row],[worksheet get]],bonds[[#Headers],[ticker]])</f>
        <v>BAYNGR</v>
      </c>
      <c r="I6" s="5" cm="1">
        <f t="array" ref="I6">_xll.BDP(bonds[[#This Row],[worksheet get]],bonds[[#Headers],[coupon]])</f>
        <v>2.375</v>
      </c>
      <c r="J6" s="8" cm="1">
        <f t="array" ref="J6">_xll.BDP(bonds[[#This Row],[worksheet get]],bonds[[#Headers],[nxt_call_dt]])*1</f>
        <v>44836</v>
      </c>
      <c r="K6" s="9" t="str" cm="1">
        <f t="array" ref="K6">_xll.BDP(bonds[[#This Row],[worksheet get]],bonds[[#Headers],[mty_typ]])</f>
        <v>CALLABLE</v>
      </c>
      <c r="L6" s="9" t="str" cm="1">
        <f t="array" ref="L6">_xll.BDP(bonds[[#This Row],[worksheet get]],bonds[[#Headers],[crncy]])</f>
        <v>EUR</v>
      </c>
      <c r="M6" s="10" cm="1">
        <f t="array" ref="M6">_xll.BDP(bonds[[#This Row],[worksheet get]],bonds[[#Headers],[amt_outstanding]])</f>
        <v>1300000000</v>
      </c>
      <c r="N6" s="9" t="str" cm="1">
        <f t="array" ref="N6">_xll.BDP(bonds[[#This Row],[worksheet get]],bonds[[#Headers],[industry_sector]])</f>
        <v>Consumer, Non-cyclical</v>
      </c>
      <c r="O6" s="9" t="str">
        <f>bonds[[#This Row],[security name]]&amp;" nc-"&amp;RIGHT(YEAR(bonds[[#This Row],[nxt_call_dt]]),2)</f>
        <v>BAYNGR 2 3/8 04/02/75 nc-22</v>
      </c>
      <c r="Q6" s="5" t="str">
        <v>AKEFP</v>
      </c>
      <c r="R6" s="5" t="str">
        <v>BNFP</v>
      </c>
      <c r="S6" s="5" t="str">
        <v>ARNDTN</v>
      </c>
      <c r="T6" s="5">
        <v>5</v>
      </c>
      <c r="U6" s="5" t="str">
        <v>Energy</v>
      </c>
      <c r="V6" s="5">
        <v>20</v>
      </c>
      <c r="X6" s="1" t="s">
        <v>35</v>
      </c>
      <c r="Z6" s="5" t="s">
        <v>73</v>
      </c>
      <c r="AA6" s="5" t="s">
        <v>171</v>
      </c>
    </row>
    <row r="7" spans="2:27" x14ac:dyDescent="0.25">
      <c r="B7" s="5" t="s">
        <v>215</v>
      </c>
      <c r="C7" s="5" t="s">
        <v>216</v>
      </c>
      <c r="E7" s="5" t="s">
        <v>65</v>
      </c>
      <c r="F7" s="5" t="str" cm="1">
        <f t="array" ref="F7">_xll.BDP(bonds[[#This Row],[worksheet get]],bonds[[#Headers],[ID_ISIN]])</f>
        <v>DE000A11QR73</v>
      </c>
      <c r="G7" s="5" t="str" cm="1">
        <f t="array" ref="G7">_xll.BDP(bonds[[#This Row],[worksheet get]],bonds[[#Headers],[security name]])</f>
        <v>BAYNGR 3 3/4 07/01/74</v>
      </c>
      <c r="H7" s="5" t="str" cm="1">
        <f t="array" ref="H7">_xll.BDP(bonds[[#This Row],[worksheet get]],bonds[[#Headers],[ticker]])</f>
        <v>BAYNGR</v>
      </c>
      <c r="I7" s="5" cm="1">
        <f t="array" ref="I7">_xll.BDP(bonds[[#This Row],[worksheet get]],bonds[[#Headers],[coupon]])</f>
        <v>3.75</v>
      </c>
      <c r="J7" s="8" cm="1">
        <f t="array" ref="J7">_xll.BDP(bonds[[#This Row],[worksheet get]],bonds[[#Headers],[nxt_call_dt]])*1</f>
        <v>45474</v>
      </c>
      <c r="K7" s="9" t="str" cm="1">
        <f t="array" ref="K7">_xll.BDP(bonds[[#This Row],[worksheet get]],bonds[[#Headers],[mty_typ]])</f>
        <v>CALLABLE</v>
      </c>
      <c r="L7" s="9" t="str" cm="1">
        <f t="array" ref="L7">_xll.BDP(bonds[[#This Row],[worksheet get]],bonds[[#Headers],[crncy]])</f>
        <v>EUR</v>
      </c>
      <c r="M7" s="10" cm="1">
        <f t="array" ref="M7">_xll.BDP(bonds[[#This Row],[worksheet get]],bonds[[#Headers],[amt_outstanding]])</f>
        <v>1500000000</v>
      </c>
      <c r="N7" s="9" t="str" cm="1">
        <f t="array" ref="N7">_xll.BDP(bonds[[#This Row],[worksheet get]],bonds[[#Headers],[industry_sector]])</f>
        <v>Consumer, Non-cyclical</v>
      </c>
      <c r="O7" s="9" t="str">
        <f>bonds[[#This Row],[security name]]&amp;" nc-"&amp;RIGHT(YEAR(bonds[[#This Row],[nxt_call_dt]]),2)</f>
        <v>BAYNGR 3 3/4 07/01/74 nc-24</v>
      </c>
      <c r="Q7" s="5" t="str">
        <v>LXSGR</v>
      </c>
      <c r="R7" s="5" t="str">
        <v>ECLEAR</v>
      </c>
      <c r="S7" s="5" t="str">
        <v>BAYNGR</v>
      </c>
      <c r="T7" s="5">
        <v>4</v>
      </c>
      <c r="U7" s="5" t="str">
        <v>Communications</v>
      </c>
      <c r="V7" s="5">
        <v>34</v>
      </c>
      <c r="Z7" s="5" t="s">
        <v>130</v>
      </c>
      <c r="AA7" s="5" t="s">
        <v>171</v>
      </c>
    </row>
    <row r="8" spans="2:27" x14ac:dyDescent="0.25">
      <c r="B8" s="5" t="s">
        <v>217</v>
      </c>
      <c r="C8" s="5" t="s">
        <v>218</v>
      </c>
      <c r="E8" s="5" t="s">
        <v>219</v>
      </c>
      <c r="F8" s="5" t="str" cm="1">
        <f t="array" ref="F8">_xll.BDP(bonds[[#This Row],[worksheet get]],bonds[[#Headers],[ID_ISIN]])</f>
        <v>XS2077670003</v>
      </c>
      <c r="G8" s="5" t="str" cm="1">
        <f t="array" ref="G8">_xll.BDP(bonds[[#This Row],[worksheet get]],bonds[[#Headers],[security name]])</f>
        <v>BAYNGR 2 3/8 11/12/79</v>
      </c>
      <c r="H8" s="5" t="str" cm="1">
        <f t="array" ref="H8">_xll.BDP(bonds[[#This Row],[worksheet get]],bonds[[#Headers],[ticker]])</f>
        <v>BAYNGR</v>
      </c>
      <c r="I8" s="5" cm="1">
        <f t="array" ref="I8">_xll.BDP(bonds[[#This Row],[worksheet get]],bonds[[#Headers],[coupon]])</f>
        <v>2.375</v>
      </c>
      <c r="J8" s="8" cm="1">
        <f t="array" ref="J8">_xll.BDP(bonds[[#This Row],[worksheet get]],bonds[[#Headers],[nxt_call_dt]])*1</f>
        <v>45700</v>
      </c>
      <c r="K8" s="9" t="str" cm="1">
        <f t="array" ref="K8">_xll.BDP(bonds[[#This Row],[worksheet get]],bonds[[#Headers],[mty_typ]])</f>
        <v>CALLABLE</v>
      </c>
      <c r="L8" s="9" t="str" cm="1">
        <f t="array" ref="L8">_xll.BDP(bonds[[#This Row],[worksheet get]],bonds[[#Headers],[crncy]])</f>
        <v>EUR</v>
      </c>
      <c r="M8" s="10" cm="1">
        <f t="array" ref="M8">_xll.BDP(bonds[[#This Row],[worksheet get]],bonds[[#Headers],[amt_outstanding]])</f>
        <v>1000000000</v>
      </c>
      <c r="N8" s="9" t="str" cm="1">
        <f t="array" ref="N8">_xll.BDP(bonds[[#This Row],[worksheet get]],bonds[[#Headers],[industry_sector]])</f>
        <v>Consumer, Non-cyclical</v>
      </c>
      <c r="O8" s="9" t="str">
        <f>bonds[[#This Row],[security name]]&amp;" nc-"&amp;RIGHT(YEAR(bonds[[#This Row],[nxt_call_dt]]),2)</f>
        <v>BAYNGR 2 3/8 11/12/79 nc-25</v>
      </c>
      <c r="Q8" s="5" t="str">
        <v>LHNVX</v>
      </c>
      <c r="R8" s="5" t="str">
        <v>BRITEL</v>
      </c>
      <c r="S8" s="5" t="str">
        <v>BERTEL</v>
      </c>
      <c r="T8" s="5">
        <v>2</v>
      </c>
      <c r="U8" s="5" t="str">
        <v>Technology</v>
      </c>
      <c r="V8" s="5">
        <v>2</v>
      </c>
      <c r="Z8" s="5" t="s">
        <v>220</v>
      </c>
      <c r="AA8" s="5" t="s">
        <v>171</v>
      </c>
    </row>
    <row r="9" spans="2:27" x14ac:dyDescent="0.25">
      <c r="B9" s="5" t="s">
        <v>221</v>
      </c>
      <c r="C9" s="5" t="s">
        <v>222</v>
      </c>
      <c r="E9" s="5" t="s">
        <v>223</v>
      </c>
      <c r="F9" s="5" t="str" cm="1">
        <f t="array" ref="F9">_xll.BDP(bonds[[#This Row],[worksheet get]],bonds[[#Headers],[ID_ISIN]])</f>
        <v>XS2077670342</v>
      </c>
      <c r="G9" s="5" t="str" cm="1">
        <f t="array" ref="G9">_xll.BDP(bonds[[#This Row],[worksheet get]],bonds[[#Headers],[security name]])</f>
        <v>BAYNGR 3 1/8 11/12/79</v>
      </c>
      <c r="H9" s="5" t="str" cm="1">
        <f t="array" ref="H9">_xll.BDP(bonds[[#This Row],[worksheet get]],bonds[[#Headers],[ticker]])</f>
        <v>BAYNGR</v>
      </c>
      <c r="I9" s="5" cm="1">
        <f t="array" ref="I9">_xll.BDP(bonds[[#This Row],[worksheet get]],bonds[[#Headers],[coupon]])</f>
        <v>3.125</v>
      </c>
      <c r="J9" s="8" cm="1">
        <f t="array" ref="J9">_xll.BDP(bonds[[#This Row],[worksheet get]],bonds[[#Headers],[nxt_call_dt]])*1</f>
        <v>46611</v>
      </c>
      <c r="K9" s="9" t="str" cm="1">
        <f t="array" ref="K9">_xll.BDP(bonds[[#This Row],[worksheet get]],bonds[[#Headers],[mty_typ]])</f>
        <v>CALLABLE</v>
      </c>
      <c r="L9" s="9" t="str" cm="1">
        <f t="array" ref="L9">_xll.BDP(bonds[[#This Row],[worksheet get]],bonds[[#Headers],[crncy]])</f>
        <v>EUR</v>
      </c>
      <c r="M9" s="10" cm="1">
        <f t="array" ref="M9">_xll.BDP(bonds[[#This Row],[worksheet get]],bonds[[#Headers],[amt_outstanding]])</f>
        <v>750000000</v>
      </c>
      <c r="N9" s="9" t="str" cm="1">
        <f t="array" ref="N9">_xll.BDP(bonds[[#This Row],[worksheet get]],bonds[[#Headers],[industry_sector]])</f>
        <v>Consumer, Non-cyclical</v>
      </c>
      <c r="O9" s="9" t="str">
        <f>bonds[[#This Row],[security name]]&amp;" nc-"&amp;RIGHT(YEAR(bonds[[#This Row],[nxt_call_dt]]),2)</f>
        <v>BAYNGR 3 1/8 11/12/79 nc-27</v>
      </c>
      <c r="Q9" s="5" t="str">
        <v>EVKGR</v>
      </c>
      <c r="R9" s="5" t="str">
        <v>T</v>
      </c>
      <c r="S9" s="5" t="str">
        <v>BHP</v>
      </c>
      <c r="T9" s="5">
        <v>5</v>
      </c>
      <c r="U9" s="5" t="str">
        <v>Utilities</v>
      </c>
      <c r="V9" s="5">
        <v>63</v>
      </c>
      <c r="Z9" s="5" t="s">
        <v>224</v>
      </c>
      <c r="AA9" s="5" t="s">
        <v>171</v>
      </c>
    </row>
    <row r="10" spans="2:27" x14ac:dyDescent="0.25">
      <c r="B10" s="5" t="s">
        <v>225</v>
      </c>
      <c r="C10" s="5" t="s">
        <v>226</v>
      </c>
      <c r="E10" s="5" t="s">
        <v>227</v>
      </c>
      <c r="F10" s="5" t="str" cm="1">
        <f t="array" ref="F10">_xll.BDP(bonds[[#This Row],[worksheet get]],bonds[[#Headers],[ID_ISIN]])</f>
        <v>XS2182055009</v>
      </c>
      <c r="G10" s="5" t="str" cm="1">
        <f t="array" ref="G10">_xll.BDP(bonds[[#This Row],[worksheet get]],bonds[[#Headers],[security name]])</f>
        <v>FIRMEN 3 3/4 PERP</v>
      </c>
      <c r="H10" s="5" t="str" cm="1">
        <f t="array" ref="H10">_xll.BDP(bonds[[#This Row],[worksheet get]],bonds[[#Headers],[ticker]])</f>
        <v>FIRMEN</v>
      </c>
      <c r="I10" s="5" cm="1">
        <f t="array" ref="I10">_xll.BDP(bonds[[#This Row],[worksheet get]],bonds[[#Headers],[coupon]])</f>
        <v>3.75</v>
      </c>
      <c r="J10" s="8" cm="1">
        <f t="array" ref="J10">_xll.BDP(bonds[[#This Row],[worksheet get]],bonds[[#Headers],[nxt_call_dt]])*1</f>
        <v>45903</v>
      </c>
      <c r="K10" s="9" t="str" cm="1">
        <f t="array" ref="K10">_xll.BDP(bonds[[#This Row],[worksheet get]],bonds[[#Headers],[mty_typ]])</f>
        <v>PERP/CALL</v>
      </c>
      <c r="L10" s="9" t="str" cm="1">
        <f t="array" ref="L10">_xll.BDP(bonds[[#This Row],[worksheet get]],bonds[[#Headers],[crncy]])</f>
        <v>EUR</v>
      </c>
      <c r="M10" s="10" cm="1">
        <f t="array" ref="M10">_xll.BDP(bonds[[#This Row],[worksheet get]],bonds[[#Headers],[amt_outstanding]])</f>
        <v>750000000</v>
      </c>
      <c r="N10" s="9" t="str" cm="1">
        <f t="array" ref="N10">_xll.BDP(bonds[[#This Row],[worksheet get]],bonds[[#Headers],[industry_sector]])</f>
        <v>Basic Materials</v>
      </c>
      <c r="O10" s="9" t="str">
        <f>bonds[[#This Row],[security name]]&amp;" nc-"&amp;RIGHT(YEAR(bonds[[#This Row],[nxt_call_dt]]),2)</f>
        <v>FIRMEN 3 3/4 PERP nc-25</v>
      </c>
      <c r="Q10" s="5" t="str">
        <v>ERFFP</v>
      </c>
      <c r="R10" s="5" t="str">
        <v>TENN</v>
      </c>
      <c r="S10" s="5" t="str">
        <v>BPLN</v>
      </c>
      <c r="T10" s="5">
        <v>5</v>
      </c>
      <c r="U10" s="5" t="str">
        <v>Consumer, Cyclical</v>
      </c>
      <c r="V10" s="5">
        <v>17</v>
      </c>
      <c r="Z10" s="5" t="s">
        <v>228</v>
      </c>
      <c r="AA10" s="5" t="s">
        <v>229</v>
      </c>
    </row>
    <row r="11" spans="2:27" x14ac:dyDescent="0.25">
      <c r="E11" s="5" t="s">
        <v>230</v>
      </c>
      <c r="F11" s="5" t="str" cm="1">
        <f t="array" ref="F11">_xll.BDP(bonds[[#This Row],[worksheet get]],bonds[[#Headers],[ID_ISIN]])</f>
        <v>XS1152338072</v>
      </c>
      <c r="G11" s="5" t="str" cm="1">
        <f t="array" ref="G11">_xll.BDP(bonds[[#This Row],[worksheet get]],bonds[[#Headers],[security name]])</f>
        <v>MRKGR 2 5/8 12/12/74</v>
      </c>
      <c r="H11" s="5" t="str" cm="1">
        <f t="array" ref="H11">_xll.BDP(bonds[[#This Row],[worksheet get]],bonds[[#Headers],[ticker]])</f>
        <v>MRKGR</v>
      </c>
      <c r="I11" s="5" cm="1">
        <f t="array" ref="I11">_xll.BDP(bonds[[#This Row],[worksheet get]],bonds[[#Headers],[coupon]])</f>
        <v>2.625</v>
      </c>
      <c r="J11" s="8" cm="1">
        <f t="array" ref="J11">_xll.BDP(bonds[[#This Row],[worksheet get]],bonds[[#Headers],[nxt_call_dt]])*1</f>
        <v>44359</v>
      </c>
      <c r="K11" s="9" t="str" cm="1">
        <f t="array" ref="K11">_xll.BDP(bonds[[#This Row],[worksheet get]],bonds[[#Headers],[mty_typ]])</f>
        <v>CALLABLE</v>
      </c>
      <c r="L11" s="9" t="str" cm="1">
        <f t="array" ref="L11">_xll.BDP(bonds[[#This Row],[worksheet get]],bonds[[#Headers],[crncy]])</f>
        <v>EUR</v>
      </c>
      <c r="M11" s="10" cm="1">
        <f t="array" ref="M11">_xll.BDP(bonds[[#This Row],[worksheet get]],bonds[[#Headers],[amt_outstanding]])</f>
        <v>1000000000</v>
      </c>
      <c r="N11" s="9" t="str" cm="1">
        <f t="array" ref="N11">_xll.BDP(bonds[[#This Row],[worksheet get]],bonds[[#Headers],[industry_sector]])</f>
        <v>Consumer, Non-cyclical</v>
      </c>
      <c r="O11" s="9" t="str">
        <f>bonds[[#This Row],[security name]]&amp;" nc-"&amp;RIGHT(YEAR(bonds[[#This Row],[nxt_call_dt]]),2)</f>
        <v>MRKGR 2 5/8 12/12/74 nc-21</v>
      </c>
      <c r="Q11" s="5" t="str">
        <v>BNFP</v>
      </c>
      <c r="R11" s="5" t="str">
        <v>ALLRNV</v>
      </c>
      <c r="S11" s="5" t="str">
        <v>CNALN</v>
      </c>
      <c r="T11" s="5">
        <v>2</v>
      </c>
      <c r="Z11" s="1" t="s">
        <v>109</v>
      </c>
      <c r="AA11" s="5" t="s">
        <v>171</v>
      </c>
    </row>
    <row r="12" spans="2:27" x14ac:dyDescent="0.25">
      <c r="E12" s="5" t="s">
        <v>231</v>
      </c>
      <c r="F12" s="5" t="str" cm="1">
        <f t="array" ref="F12">_xll.BDP(bonds[[#This Row],[worksheet get]],bonds[[#Headers],[ID_ISIN]])</f>
        <v>XS1152343668</v>
      </c>
      <c r="G12" s="5" t="str" cm="1">
        <f t="array" ref="G12">_xll.BDP(bonds[[#This Row],[worksheet get]],bonds[[#Headers],[security name]])</f>
        <v>MRKGR 3 3/8 12/12/74</v>
      </c>
      <c r="H12" s="5" t="str" cm="1">
        <f t="array" ref="H12">_xll.BDP(bonds[[#This Row],[worksheet get]],bonds[[#Headers],[ticker]])</f>
        <v>MRKGR</v>
      </c>
      <c r="I12" s="5" cm="1">
        <f t="array" ref="I12">_xll.BDP(bonds[[#This Row],[worksheet get]],bonds[[#Headers],[coupon]])</f>
        <v>3.375</v>
      </c>
      <c r="J12" s="8" cm="1">
        <f t="array" ref="J12">_xll.BDP(bonds[[#This Row],[worksheet get]],bonds[[#Headers],[nxt_call_dt]])*1</f>
        <v>45638</v>
      </c>
      <c r="K12" s="9" t="str" cm="1">
        <f t="array" ref="K12">_xll.BDP(bonds[[#This Row],[worksheet get]],bonds[[#Headers],[mty_typ]])</f>
        <v>CALLABLE</v>
      </c>
      <c r="L12" s="9" t="str" cm="1">
        <f t="array" ref="L12">_xll.BDP(bonds[[#This Row],[worksheet get]],bonds[[#Headers],[crncy]])</f>
        <v>EUR</v>
      </c>
      <c r="M12" s="10" cm="1">
        <f t="array" ref="M12">_xll.BDP(bonds[[#This Row],[worksheet get]],bonds[[#Headers],[amt_outstanding]])</f>
        <v>500000000</v>
      </c>
      <c r="N12" s="9" t="str" cm="1">
        <f t="array" ref="N12">_xll.BDP(bonds[[#This Row],[worksheet get]],bonds[[#Headers],[industry_sector]])</f>
        <v>Consumer, Non-cyclical</v>
      </c>
      <c r="O12" s="9" t="str">
        <f>bonds[[#This Row],[security name]]&amp;" nc-"&amp;RIGHT(YEAR(bonds[[#This Row],[nxt_call_dt]]),2)</f>
        <v>MRKGR 3 3/8 12/12/74 nc-24</v>
      </c>
      <c r="Q12" s="5" t="str">
        <v>ECLEAR</v>
      </c>
      <c r="R12" s="5" t="str">
        <v>STEDIN</v>
      </c>
      <c r="S12" s="5" t="str">
        <v>CPIPGR</v>
      </c>
      <c r="T12" s="5">
        <v>2</v>
      </c>
      <c r="Z12" s="1" t="s">
        <v>118</v>
      </c>
      <c r="AA12" s="5" t="s">
        <v>175</v>
      </c>
    </row>
    <row r="13" spans="2:27" x14ac:dyDescent="0.25">
      <c r="E13" s="5" t="s">
        <v>232</v>
      </c>
      <c r="F13" s="5" t="str" cm="1">
        <f t="array" ref="F13">_xll.BDP(bonds[[#This Row],[worksheet get]],bonds[[#Headers],[ID_ISIN]])</f>
        <v>XS2011260531</v>
      </c>
      <c r="G13" s="5" t="str" cm="1">
        <f t="array" ref="G13">_xll.BDP(bonds[[#This Row],[worksheet get]],bonds[[#Headers],[security name]])</f>
        <v>MRKGR 1 5/8 06/25/79</v>
      </c>
      <c r="H13" s="5" t="str" cm="1">
        <f t="array" ref="H13">_xll.BDP(bonds[[#This Row],[worksheet get]],bonds[[#Headers],[ticker]])</f>
        <v>MRKGR</v>
      </c>
      <c r="I13" s="5" cm="1">
        <f t="array" ref="I13">_xll.BDP(bonds[[#This Row],[worksheet get]],bonds[[#Headers],[coupon]])</f>
        <v>1.625</v>
      </c>
      <c r="J13" s="8" cm="1">
        <f t="array" ref="J13">_xll.BDP(bonds[[#This Row],[worksheet get]],bonds[[#Headers],[nxt_call_dt]])*1</f>
        <v>45553</v>
      </c>
      <c r="K13" s="9" t="str" cm="1">
        <f t="array" ref="K13">_xll.BDP(bonds[[#This Row],[worksheet get]],bonds[[#Headers],[mty_typ]])</f>
        <v>CALLABLE</v>
      </c>
      <c r="L13" s="9" t="str" cm="1">
        <f t="array" ref="L13">_xll.BDP(bonds[[#This Row],[worksheet get]],bonds[[#Headers],[crncy]])</f>
        <v>EUR</v>
      </c>
      <c r="M13" s="10" cm="1">
        <f t="array" ref="M13">_xll.BDP(bonds[[#This Row],[worksheet get]],bonds[[#Headers],[amt_outstanding]])</f>
        <v>500000000</v>
      </c>
      <c r="N13" s="9" t="str" cm="1">
        <f t="array" ref="N13">_xll.BDP(bonds[[#This Row],[worksheet get]],bonds[[#Headers],[industry_sector]])</f>
        <v>Consumer, Non-cyclical</v>
      </c>
      <c r="O13" s="9" t="str">
        <f>bonds[[#This Row],[security name]]&amp;" nc-"&amp;RIGHT(YEAR(bonds[[#This Row],[nxt_call_dt]]),2)</f>
        <v>MRKGR 1 5/8 06/25/79 nc-24</v>
      </c>
      <c r="Q13" s="5" t="str">
        <v>DBOERS</v>
      </c>
      <c r="R13" s="5" t="str">
        <v>ELIASO</v>
      </c>
      <c r="S13" s="5" t="str">
        <v>DBHNGR</v>
      </c>
      <c r="T13" s="5">
        <v>2</v>
      </c>
      <c r="Z13" s="1" t="s">
        <v>46</v>
      </c>
      <c r="AA13" s="5" t="s">
        <v>175</v>
      </c>
    </row>
    <row r="14" spans="2:27" x14ac:dyDescent="0.25">
      <c r="E14" s="5" t="s">
        <v>233</v>
      </c>
      <c r="F14" s="5" t="str" cm="1">
        <f t="array" ref="F14">_xll.BDP(bonds[[#This Row],[worksheet get]],bonds[[#Headers],[ID_ISIN]])</f>
        <v>XS2011260705</v>
      </c>
      <c r="G14" s="5" t="str" cm="1">
        <f t="array" ref="G14">_xll.BDP(bonds[[#This Row],[worksheet get]],bonds[[#Headers],[security name]])</f>
        <v>MRKGR 2 7/8 06/25/79</v>
      </c>
      <c r="H14" s="5" t="str" cm="1">
        <f t="array" ref="H14">_xll.BDP(bonds[[#This Row],[worksheet get]],bonds[[#Headers],[ticker]])</f>
        <v>MRKGR</v>
      </c>
      <c r="I14" s="5" cm="1">
        <f t="array" ref="I14">_xll.BDP(bonds[[#This Row],[worksheet get]],bonds[[#Headers],[coupon]])</f>
        <v>2.875</v>
      </c>
      <c r="J14" s="8" cm="1">
        <f t="array" ref="J14">_xll.BDP(bonds[[#This Row],[worksheet get]],bonds[[#Headers],[nxt_call_dt]])*1</f>
        <v>47202</v>
      </c>
      <c r="K14" s="9" t="str" cm="1">
        <f t="array" ref="K14">_xll.BDP(bonds[[#This Row],[worksheet get]],bonds[[#Headers],[mty_typ]])</f>
        <v>CALLABLE</v>
      </c>
      <c r="L14" s="9" t="str" cm="1">
        <f t="array" ref="L14">_xll.BDP(bonds[[#This Row],[worksheet get]],bonds[[#Headers],[crncy]])</f>
        <v>EUR</v>
      </c>
      <c r="M14" s="10" cm="1">
        <f t="array" ref="M14">_xll.BDP(bonds[[#This Row],[worksheet get]],bonds[[#Headers],[amt_outstanding]])</f>
        <v>1000000000</v>
      </c>
      <c r="N14" s="9" t="str" cm="1">
        <f t="array" ref="N14">_xll.BDP(bonds[[#This Row],[worksheet get]],bonds[[#Headers],[industry_sector]])</f>
        <v>Consumer, Non-cyclical</v>
      </c>
      <c r="O14" s="9" t="str">
        <f>bonds[[#This Row],[security name]]&amp;" nc-"&amp;RIGHT(YEAR(bonds[[#This Row],[nxt_call_dt]]),2)</f>
        <v>MRKGR 2 7/8 06/25/79 nc-29</v>
      </c>
      <c r="Q14" s="5" t="str">
        <v>DBHNGR</v>
      </c>
      <c r="R14" s="5" t="str">
        <v>VLVY</v>
      </c>
      <c r="S14" s="5" t="str">
        <v>DBOERS</v>
      </c>
      <c r="T14" s="5">
        <v>2</v>
      </c>
      <c r="Z14" s="1" t="s">
        <v>106</v>
      </c>
      <c r="AA14" s="5" t="s">
        <v>175</v>
      </c>
    </row>
    <row r="15" spans="2:27" x14ac:dyDescent="0.25">
      <c r="E15" s="5" t="s">
        <v>234</v>
      </c>
      <c r="F15" s="5" t="str" cm="1">
        <f t="array" ref="F15">_xll.BDP(bonds[[#This Row],[worksheet get]],bonds[[#Headers],[ID_ISIN]])</f>
        <v>FR0012278539</v>
      </c>
      <c r="G15" s="5" t="str" cm="1">
        <f t="array" ref="G15">_xll.BDP(bonds[[#This Row],[worksheet get]],bonds[[#Headers],[security name]])</f>
        <v>AKEFP 4 3/4 PERP</v>
      </c>
      <c r="H15" s="5" t="str" cm="1">
        <f t="array" ref="H15">_xll.BDP(bonds[[#This Row],[worksheet get]],bonds[[#Headers],[ticker]])</f>
        <v>AKEFP</v>
      </c>
      <c r="I15" s="5" cm="1">
        <f t="array" ref="I15">_xll.BDP(bonds[[#This Row],[worksheet get]],bonds[[#Headers],[coupon]])</f>
        <v>4.75</v>
      </c>
      <c r="J15" s="8" cm="1">
        <f t="array" ref="J15">_xll.BDP(bonds[[#This Row],[worksheet get]],bonds[[#Headers],[nxt_call_dt]])*1</f>
        <v>44133</v>
      </c>
      <c r="K15" s="9" t="str" cm="1">
        <f t="array" ref="K15">_xll.BDP(bonds[[#This Row],[worksheet get]],bonds[[#Headers],[mty_typ]])</f>
        <v>PERP/CALL</v>
      </c>
      <c r="L15" s="9" t="str" cm="1">
        <f t="array" ref="L15">_xll.BDP(bonds[[#This Row],[worksheet get]],bonds[[#Headers],[crncy]])</f>
        <v>EUR</v>
      </c>
      <c r="M15" s="10" cm="1">
        <f t="array" ref="M15">_xll.BDP(bonds[[#This Row],[worksheet get]],bonds[[#Headers],[amt_outstanding]])</f>
        <v>300000000</v>
      </c>
      <c r="N15" s="9" t="str" cm="1">
        <f t="array" ref="N15">_xll.BDP(bonds[[#This Row],[worksheet get]],bonds[[#Headers],[industry_sector]])</f>
        <v>Basic Materials</v>
      </c>
      <c r="O15" s="9" t="str">
        <f>bonds[[#This Row],[security name]]&amp;" nc-"&amp;RIGHT(YEAR(bonds[[#This Row],[nxt_call_dt]]),2)</f>
        <v>AKEFP 4 3/4 PERP nc-20</v>
      </c>
      <c r="Q15" s="5" t="str">
        <v>OMVAV</v>
      </c>
      <c r="R15" s="5" t="str">
        <v>AFFP</v>
      </c>
      <c r="S15" s="5" t="str">
        <v>EDF</v>
      </c>
      <c r="T15" s="5">
        <v>9</v>
      </c>
      <c r="Z15" s="1" t="s">
        <v>235</v>
      </c>
      <c r="AA15" s="5" t="s">
        <v>175</v>
      </c>
    </row>
    <row r="16" spans="2:27" x14ac:dyDescent="0.25">
      <c r="E16" s="5" t="s">
        <v>236</v>
      </c>
      <c r="F16" s="5" t="str" cm="1">
        <f t="array" ref="F16">_xll.BDP(bonds[[#This Row],[worksheet get]],bonds[[#Headers],[ID_ISIN]])</f>
        <v>FR0013425170</v>
      </c>
      <c r="G16" s="5" t="str" cm="1">
        <f t="array" ref="G16">_xll.BDP(bonds[[#This Row],[worksheet get]],bonds[[#Headers],[security name]])</f>
        <v>AKEFP 2 3/4 PERP</v>
      </c>
      <c r="H16" s="5" t="str" cm="1">
        <f t="array" ref="H16">_xll.BDP(bonds[[#This Row],[worksheet get]],bonds[[#Headers],[ticker]])</f>
        <v>AKEFP</v>
      </c>
      <c r="I16" s="5" cm="1">
        <f t="array" ref="I16">_xll.BDP(bonds[[#This Row],[worksheet get]],bonds[[#Headers],[coupon]])</f>
        <v>2.75</v>
      </c>
      <c r="J16" s="8" cm="1">
        <f t="array" ref="J16">_xll.BDP(bonds[[#This Row],[worksheet get]],bonds[[#Headers],[nxt_call_dt]])*1</f>
        <v>45460</v>
      </c>
      <c r="K16" s="9" t="str" cm="1">
        <f t="array" ref="K16">_xll.BDP(bonds[[#This Row],[worksheet get]],bonds[[#Headers],[mty_typ]])</f>
        <v>PERP/CALL</v>
      </c>
      <c r="L16" s="9" t="str" cm="1">
        <f t="array" ref="L16">_xll.BDP(bonds[[#This Row],[worksheet get]],bonds[[#Headers],[crncy]])</f>
        <v>EUR</v>
      </c>
      <c r="M16" s="10" cm="1">
        <f t="array" ref="M16">_xll.BDP(bonds[[#This Row],[worksheet get]],bonds[[#Headers],[amt_outstanding]])</f>
        <v>400000000</v>
      </c>
      <c r="N16" s="9" t="str" cm="1">
        <f t="array" ref="N16">_xll.BDP(bonds[[#This Row],[worksheet get]],bonds[[#Headers],[industry_sector]])</f>
        <v>Basic Materials</v>
      </c>
      <c r="O16" s="9" t="str">
        <f>bonds[[#This Row],[security name]]&amp;" nc-"&amp;RIGHT(YEAR(bonds[[#This Row],[nxt_call_dt]]),2)</f>
        <v>AKEFP 2 3/4 PERP nc-24</v>
      </c>
      <c r="Q16" s="5" t="str">
        <v>REPSM</v>
      </c>
      <c r="R16" s="5" t="str">
        <v>LHAGR</v>
      </c>
      <c r="S16" s="5" t="str">
        <v>EDPPL</v>
      </c>
      <c r="T16" s="5">
        <v>3</v>
      </c>
      <c r="Z16" s="1" t="s">
        <v>237</v>
      </c>
      <c r="AA16" s="5" t="s">
        <v>173</v>
      </c>
    </row>
    <row r="17" spans="2:27" x14ac:dyDescent="0.25">
      <c r="E17" s="5" t="s">
        <v>238</v>
      </c>
      <c r="F17" s="5" t="str" cm="1">
        <f t="array" ref="F17">_xll.BDP(bonds[[#This Row],[worksheet get]],bonds[[#Headers],[ID_ISIN]])</f>
        <v>FR0013478252</v>
      </c>
      <c r="G17" s="5" t="str" cm="1">
        <f t="array" ref="G17">_xll.BDP(bonds[[#This Row],[worksheet get]],bonds[[#Headers],[security name]])</f>
        <v>AKEFP 1 1/2 PERP</v>
      </c>
      <c r="H17" s="5" t="str" cm="1">
        <f t="array" ref="H17">_xll.BDP(bonds[[#This Row],[worksheet get]],bonds[[#Headers],[ticker]])</f>
        <v>AKEFP</v>
      </c>
      <c r="I17" s="5" cm="1">
        <f t="array" ref="I17">_xll.BDP(bonds[[#This Row],[worksheet get]],bonds[[#Headers],[coupon]])</f>
        <v>1.5</v>
      </c>
      <c r="J17" s="8" cm="1">
        <f t="array" ref="J17">_xll.BDP(bonds[[#This Row],[worksheet get]],bonds[[#Headers],[nxt_call_dt]])*1</f>
        <v>45951</v>
      </c>
      <c r="K17" s="9" t="str" cm="1">
        <f t="array" ref="K17">_xll.BDP(bonds[[#This Row],[worksheet get]],bonds[[#Headers],[mty_typ]])</f>
        <v>PERP/CALL</v>
      </c>
      <c r="L17" s="9" t="str" cm="1">
        <f t="array" ref="L17">_xll.BDP(bonds[[#This Row],[worksheet get]],bonds[[#Headers],[crncy]])</f>
        <v>EUR</v>
      </c>
      <c r="M17" s="10" cm="1">
        <f t="array" ref="M17">_xll.BDP(bonds[[#This Row],[worksheet get]],bonds[[#Headers],[amt_outstanding]])</f>
        <v>300000000</v>
      </c>
      <c r="N17" s="9" t="str" cm="1">
        <f t="array" ref="N17">_xll.BDP(bonds[[#This Row],[worksheet get]],bonds[[#Headers],[industry_sector]])</f>
        <v>Basic Materials</v>
      </c>
      <c r="O17" s="9" t="str">
        <f>bonds[[#This Row],[security name]]&amp;" nc-"&amp;RIGHT(YEAR(bonds[[#This Row],[nxt_call_dt]]),2)</f>
        <v>AKEFP 1 1/2 PERP nc-25</v>
      </c>
      <c r="Q17" s="5" t="str">
        <v>BPLN</v>
      </c>
      <c r="R17" s="5" t="str">
        <v>FERSM</v>
      </c>
      <c r="S17" s="5" t="str">
        <v>ENBW</v>
      </c>
      <c r="T17" s="5">
        <v>7</v>
      </c>
      <c r="Z17" s="1" t="s">
        <v>115</v>
      </c>
      <c r="AA17" s="5" t="s">
        <v>173</v>
      </c>
    </row>
    <row r="18" spans="2:27" x14ac:dyDescent="0.25">
      <c r="B18" s="5" t="s">
        <v>239</v>
      </c>
      <c r="E18" s="5" t="s">
        <v>240</v>
      </c>
      <c r="F18" s="5" t="str" cm="1">
        <f t="array" ref="F18">_xll.BDP(bonds[[#This Row],[worksheet get]],bonds[[#Headers],[ID_ISIN]])</f>
        <v>XS1405763019</v>
      </c>
      <c r="G18" s="5" t="str" cm="1">
        <f t="array" ref="G18">_xll.BDP(bonds[[#This Row],[worksheet get]],bonds[[#Headers],[security name]])</f>
        <v>LXSGR 4 1/2 12/06/76</v>
      </c>
      <c r="H18" s="5" t="str" cm="1">
        <f t="array" ref="H18">_xll.BDP(bonds[[#This Row],[worksheet get]],bonds[[#Headers],[ticker]])</f>
        <v>LXSGR</v>
      </c>
      <c r="I18" s="5" cm="1">
        <f t="array" ref="I18">_xll.BDP(bonds[[#This Row],[worksheet get]],bonds[[#Headers],[coupon]])</f>
        <v>4.5</v>
      </c>
      <c r="J18" s="8" cm="1">
        <f t="array" ref="J18">_xll.BDP(bonds[[#This Row],[worksheet get]],bonds[[#Headers],[nxt_call_dt]])*1</f>
        <v>45083</v>
      </c>
      <c r="K18" s="9" t="str" cm="1">
        <f t="array" ref="K18">_xll.BDP(bonds[[#This Row],[worksheet get]],bonds[[#Headers],[mty_typ]])</f>
        <v>CALLABLE</v>
      </c>
      <c r="L18" s="9" t="str" cm="1">
        <f t="array" ref="L18">_xll.BDP(bonds[[#This Row],[worksheet get]],bonds[[#Headers],[crncy]])</f>
        <v>EUR</v>
      </c>
      <c r="M18" s="10" cm="1">
        <f t="array" ref="M18">_xll.BDP(bonds[[#This Row],[worksheet get]],bonds[[#Headers],[amt_outstanding]])</f>
        <v>500000000</v>
      </c>
      <c r="N18" s="9" t="str" cm="1">
        <f t="array" ref="N18">_xll.BDP(bonds[[#This Row],[worksheet get]],bonds[[#Headers],[industry_sector]])</f>
        <v>Basic Materials</v>
      </c>
      <c r="O18" s="9" t="str">
        <f>bonds[[#This Row],[security name]]&amp;" nc-"&amp;RIGHT(YEAR(bonds[[#This Row],[nxt_call_dt]]),2)</f>
        <v>LXSGR 4 1/2 12/06/76 nc-23</v>
      </c>
      <c r="Q18" s="5" t="str">
        <v>TOTAL</v>
      </c>
      <c r="R18" s="5" t="str">
        <v>ANNGR</v>
      </c>
      <c r="S18" s="5" t="str">
        <v>ENELIM</v>
      </c>
      <c r="T18" s="5">
        <v>7</v>
      </c>
      <c r="Z18" s="1" t="s">
        <v>241</v>
      </c>
      <c r="AA18" s="5" t="s">
        <v>173</v>
      </c>
    </row>
    <row r="19" spans="2:27" x14ac:dyDescent="0.25">
      <c r="B19" s="11" t="s">
        <v>198</v>
      </c>
      <c r="E19" s="5" t="s">
        <v>242</v>
      </c>
      <c r="F19" s="5" t="str" cm="1">
        <f t="array" ref="F19">_xll.BDP(bonds[[#This Row],[worksheet get]],bonds[[#Headers],[ID_ISIN]])</f>
        <v>XS1713466495</v>
      </c>
      <c r="G19" s="5" t="str" cm="1">
        <f t="array" ref="G19">_xll.BDP(bonds[[#This Row],[worksheet get]],bonds[[#Headers],[security name]])</f>
        <v>LHNVX 3 PERP</v>
      </c>
      <c r="H19" s="5" t="str" cm="1">
        <f t="array" ref="H19">_xll.BDP(bonds[[#This Row],[worksheet get]],bonds[[#Headers],[ticker]])</f>
        <v>LHNVX</v>
      </c>
      <c r="I19" s="5" cm="1">
        <f t="array" ref="I19">_xll.BDP(bonds[[#This Row],[worksheet get]],bonds[[#Headers],[coupon]])</f>
        <v>3</v>
      </c>
      <c r="J19" s="8" cm="1">
        <f t="array" ref="J19">_xll.BDP(bonds[[#This Row],[worksheet get]],bonds[[#Headers],[nxt_call_dt]])*1</f>
        <v>45478</v>
      </c>
      <c r="K19" s="9" t="str" cm="1">
        <f t="array" ref="K19">_xll.BDP(bonds[[#This Row],[worksheet get]],bonds[[#Headers],[mty_typ]])</f>
        <v>PERP/CALL</v>
      </c>
      <c r="L19" s="9" t="str" cm="1">
        <f t="array" ref="L19">_xll.BDP(bonds[[#This Row],[worksheet get]],bonds[[#Headers],[crncy]])</f>
        <v>EUR</v>
      </c>
      <c r="M19" s="10" cm="1">
        <f t="array" ref="M19">_xll.BDP(bonds[[#This Row],[worksheet get]],bonds[[#Headers],[amt_outstanding]])</f>
        <v>500000000</v>
      </c>
      <c r="N19" s="9" t="str" cm="1">
        <f t="array" ref="N19">_xll.BDP(bonds[[#This Row],[worksheet get]],bonds[[#Headers],[industry_sector]])</f>
        <v>Industrial</v>
      </c>
      <c r="O19" s="9" t="str">
        <f>bonds[[#This Row],[security name]]&amp;" nc-"&amp;RIGHT(YEAR(bonds[[#This Row],[nxt_call_dt]]),2)</f>
        <v>LHNVX 3 PERP nc-24</v>
      </c>
      <c r="Q19" s="5" t="str">
        <v>BHP</v>
      </c>
      <c r="R19" s="5" t="str">
        <v>BALDER</v>
      </c>
      <c r="S19" s="5" t="str">
        <v>ENGIFP</v>
      </c>
      <c r="T19" s="5">
        <v>5</v>
      </c>
      <c r="Z19" s="1" t="s">
        <v>91</v>
      </c>
      <c r="AA19" s="5" t="s">
        <v>173</v>
      </c>
    </row>
    <row r="20" spans="2:27" x14ac:dyDescent="0.25">
      <c r="E20" s="5" t="s">
        <v>243</v>
      </c>
      <c r="F20" s="5" t="str" cm="1">
        <f t="array" ref="F20">_xll.BDP(bonds[[#This Row],[worksheet get]],bonds[[#Headers],[ID_ISIN]])</f>
        <v>DE000A2GSFF1</v>
      </c>
      <c r="G20" s="5" t="str" cm="1">
        <f t="array" ref="G20">_xll.BDP(bonds[[#This Row],[worksheet get]],bonds[[#Headers],[security name]])</f>
        <v>EVKGR 2 1/8 07/07/77</v>
      </c>
      <c r="H20" s="5" t="str" cm="1">
        <f t="array" ref="H20">_xll.BDP(bonds[[#This Row],[worksheet get]],bonds[[#Headers],[ticker]])</f>
        <v>EVKGR</v>
      </c>
      <c r="I20" s="5" cm="1">
        <f t="array" ref="I20">_xll.BDP(bonds[[#This Row],[worksheet get]],bonds[[#Headers],[coupon]])</f>
        <v>2.125</v>
      </c>
      <c r="J20" s="8" cm="1">
        <f t="array" ref="J20">_xll.BDP(bonds[[#This Row],[worksheet get]],bonds[[#Headers],[nxt_call_dt]])*1</f>
        <v>44780</v>
      </c>
      <c r="K20" s="9" t="str" cm="1">
        <f t="array" ref="K20">_xll.BDP(bonds[[#This Row],[worksheet get]],bonds[[#Headers],[mty_typ]])</f>
        <v>CALLABLE</v>
      </c>
      <c r="L20" s="9" t="str" cm="1">
        <f t="array" ref="L20">_xll.BDP(bonds[[#This Row],[worksheet get]],bonds[[#Headers],[crncy]])</f>
        <v>EUR</v>
      </c>
      <c r="M20" s="10" cm="1">
        <f t="array" ref="M20">_xll.BDP(bonds[[#This Row],[worksheet get]],bonds[[#Headers],[amt_outstanding]])</f>
        <v>500000000</v>
      </c>
      <c r="N20" s="9" t="str" cm="1">
        <f t="array" ref="N20">_xll.BDP(bonds[[#This Row],[worksheet get]],bonds[[#Headers],[industry_sector]])</f>
        <v>Basic Materials</v>
      </c>
      <c r="O20" s="9" t="str">
        <f>bonds[[#This Row],[security name]]&amp;" nc-"&amp;RIGHT(YEAR(bonds[[#This Row],[nxt_call_dt]]),2)</f>
        <v>EVKGR 2 1/8 07/07/77 nc-22</v>
      </c>
      <c r="Q20" s="5" t="str">
        <v>AMXLMM</v>
      </c>
      <c r="R20" s="5" t="str">
        <v>TLGGR</v>
      </c>
      <c r="S20" s="5" t="str">
        <v>ERFFP</v>
      </c>
      <c r="T20" s="5">
        <v>3</v>
      </c>
      <c r="Z20" s="1" t="s">
        <v>37</v>
      </c>
      <c r="AA20" s="5" t="s">
        <v>173</v>
      </c>
    </row>
    <row r="21" spans="2:27" x14ac:dyDescent="0.25">
      <c r="E21" s="5" t="s">
        <v>101</v>
      </c>
      <c r="F21" s="5" t="str" cm="1">
        <f t="array" ref="F21">_xll.BDP(bonds[[#This Row],[worksheet get]],bonds[[#Headers],[ID_ISIN]])</f>
        <v>XS2051471105</v>
      </c>
      <c r="G21" s="5" t="str" cm="1">
        <f t="array" ref="G21">_xll.BDP(bonds[[#This Row],[worksheet get]],bonds[[#Headers],[security name]])</f>
        <v>ERFFP 2 7/8 PERP</v>
      </c>
      <c r="H21" s="5" t="str" cm="1">
        <f t="array" ref="H21">_xll.BDP(bonds[[#This Row],[worksheet get]],bonds[[#Headers],[ticker]])</f>
        <v>ERFFP</v>
      </c>
      <c r="I21" s="5" cm="1">
        <f t="array" ref="I21">_xll.BDP(bonds[[#This Row],[worksheet get]],bonds[[#Headers],[coupon]])</f>
        <v>2.875</v>
      </c>
      <c r="J21" s="8" cm="1">
        <f t="array" ref="J21">_xll.BDP(bonds[[#This Row],[worksheet get]],bonds[[#Headers],[nxt_call_dt]])*1</f>
        <v>44784</v>
      </c>
      <c r="K21" s="9" t="str" cm="1">
        <f t="array" ref="K21">_xll.BDP(bonds[[#This Row],[worksheet get]],bonds[[#Headers],[mty_typ]])</f>
        <v>PERP/CALL</v>
      </c>
      <c r="L21" s="9" t="str" cm="1">
        <f t="array" ref="L21">_xll.BDP(bonds[[#This Row],[worksheet get]],bonds[[#Headers],[crncy]])</f>
        <v>EUR</v>
      </c>
      <c r="M21" s="10" cm="1">
        <f t="array" ref="M21">_xll.BDP(bonds[[#This Row],[worksheet get]],bonds[[#Headers],[amt_outstanding]])</f>
        <v>300000000</v>
      </c>
      <c r="N21" s="9" t="str" cm="1">
        <f t="array" ref="N21">_xll.BDP(bonds[[#This Row],[worksheet get]],bonds[[#Headers],[industry_sector]])</f>
        <v>Consumer, Non-cyclical</v>
      </c>
      <c r="O21" s="9" t="str">
        <f>bonds[[#This Row],[security name]]&amp;" nc-"&amp;RIGHT(YEAR(bonds[[#This Row],[nxt_call_dt]]),2)</f>
        <v>ERFFP 2 7/8 PERP nc-22</v>
      </c>
      <c r="Q21" s="5" t="str">
        <v>BERTEL</v>
      </c>
      <c r="R21" s="5" t="str">
        <v>HEIBOS</v>
      </c>
      <c r="S21" s="5" t="str">
        <v>GYCGR</v>
      </c>
      <c r="T21" s="5">
        <v>3</v>
      </c>
      <c r="Z21" s="1" t="s">
        <v>67</v>
      </c>
      <c r="AA21" s="5" t="s">
        <v>173</v>
      </c>
    </row>
    <row r="22" spans="2:27" x14ac:dyDescent="0.25">
      <c r="E22" s="5" t="s">
        <v>244</v>
      </c>
      <c r="F22" s="5" t="str" cm="1">
        <f t="array" ref="F22">_xll.BDP(bonds[[#This Row],[worksheet get]],bonds[[#Headers],[ID_ISIN]])</f>
        <v>XS1224953882</v>
      </c>
      <c r="G22" s="5" t="str" cm="1">
        <f t="array" ref="G22">_xll.BDP(bonds[[#This Row],[worksheet get]],bonds[[#Headers],[security name]])</f>
        <v>ERFFP 4 7/8 PERP</v>
      </c>
      <c r="H22" s="5" t="str" cm="1">
        <f t="array" ref="H22">_xll.BDP(bonds[[#This Row],[worksheet get]],bonds[[#Headers],[ticker]])</f>
        <v>ERFFP</v>
      </c>
      <c r="I22" s="5" cm="1">
        <f t="array" ref="I22">_xll.BDP(bonds[[#This Row],[worksheet get]],bonds[[#Headers],[coupon]])</f>
        <v>4.875</v>
      </c>
      <c r="J22" s="8" cm="1">
        <f t="array" ref="J22">_xll.BDP(bonds[[#This Row],[worksheet get]],bonds[[#Headers],[nxt_call_dt]])*1</f>
        <v>45045</v>
      </c>
      <c r="K22" s="9" t="str" cm="1">
        <f t="array" ref="K22">_xll.BDP(bonds[[#This Row],[worksheet get]],bonds[[#Headers],[mty_typ]])</f>
        <v>PERP/CALL</v>
      </c>
      <c r="L22" s="9" t="str" cm="1">
        <f t="array" ref="L22">_xll.BDP(bonds[[#This Row],[worksheet get]],bonds[[#Headers],[crncy]])</f>
        <v>EUR</v>
      </c>
      <c r="M22" s="10" cm="1">
        <f t="array" ref="M22">_xll.BDP(bonds[[#This Row],[worksheet get]],bonds[[#Headers],[amt_outstanding]])</f>
        <v>300000000</v>
      </c>
      <c r="N22" s="9" t="str" cm="1">
        <f t="array" ref="N22">_xll.BDP(bonds[[#This Row],[worksheet get]],bonds[[#Headers],[industry_sector]])</f>
        <v>Consumer, Non-cyclical</v>
      </c>
      <c r="O22" s="9" t="str">
        <f>bonds[[#This Row],[security name]]&amp;" nc-"&amp;RIGHT(YEAR(bonds[[#This Row],[nxt_call_dt]]),2)</f>
        <v>ERFFP 4 7/8 PERP nc-23</v>
      </c>
      <c r="Q22" s="5" t="str">
        <v>KPN</v>
      </c>
      <c r="R22" s="5" t="str">
        <v>JUSTLN</v>
      </c>
      <c r="S22" s="5" t="str">
        <v>IBESM</v>
      </c>
      <c r="T22" s="5">
        <v>3</v>
      </c>
      <c r="Z22" s="1" t="s">
        <v>124</v>
      </c>
      <c r="AA22" s="5" t="s">
        <v>173</v>
      </c>
    </row>
    <row r="23" spans="2:27" x14ac:dyDescent="0.25">
      <c r="E23" s="5" t="s">
        <v>102</v>
      </c>
      <c r="F23" s="5" t="str" cm="1">
        <f t="array" ref="F23">_xll.BDP(bonds[[#This Row],[worksheet get]],bonds[[#Headers],[ID_ISIN]])</f>
        <v>XS1716945586</v>
      </c>
      <c r="G23" s="5" t="str" cm="1">
        <f t="array" ref="G23">_xll.BDP(bonds[[#This Row],[worksheet get]],bonds[[#Headers],[security name]])</f>
        <v>ERFFP 3 1/4 PERP</v>
      </c>
      <c r="H23" s="5" t="str" cm="1">
        <f t="array" ref="H23">_xll.BDP(bonds[[#This Row],[worksheet get]],bonds[[#Headers],[ticker]])</f>
        <v>ERFFP</v>
      </c>
      <c r="I23" s="5" cm="1">
        <f t="array" ref="I23">_xll.BDP(bonds[[#This Row],[worksheet get]],bonds[[#Headers],[coupon]])</f>
        <v>3.25</v>
      </c>
      <c r="J23" s="8" cm="1">
        <f t="array" ref="J23">_xll.BDP(bonds[[#This Row],[worksheet get]],bonds[[#Headers],[nxt_call_dt]])*1</f>
        <v>45974</v>
      </c>
      <c r="K23" s="9" t="str" cm="1">
        <f t="array" ref="K23">_xll.BDP(bonds[[#This Row],[worksheet get]],bonds[[#Headers],[mty_typ]])</f>
        <v>PERP/CALL</v>
      </c>
      <c r="L23" s="9" t="str" cm="1">
        <f t="array" ref="L23">_xll.BDP(bonds[[#This Row],[worksheet get]],bonds[[#Headers],[crncy]])</f>
        <v>EUR</v>
      </c>
      <c r="M23" s="10" cm="1">
        <f t="array" ref="M23">_xll.BDP(bonds[[#This Row],[worksheet get]],bonds[[#Headers],[amt_outstanding]])</f>
        <v>400000000</v>
      </c>
      <c r="N23" s="9" t="str" cm="1">
        <f t="array" ref="N23">_xll.BDP(bonds[[#This Row],[worksheet get]],bonds[[#Headers],[industry_sector]])</f>
        <v>Consumer, Non-cyclical</v>
      </c>
      <c r="O23" s="9" t="str">
        <f>bonds[[#This Row],[security name]]&amp;" nc-"&amp;RIGHT(YEAR(bonds[[#This Row],[nxt_call_dt]]),2)</f>
        <v>ERFFP 3 1/4 PERP nc-25</v>
      </c>
      <c r="Q23" s="5" t="str">
        <v>TELIAS</v>
      </c>
      <c r="R23" s="5" t="str">
        <v>SZUGR</v>
      </c>
      <c r="S23" s="5" t="str">
        <v>IFXGR</v>
      </c>
      <c r="T23" s="5">
        <v>2</v>
      </c>
      <c r="Z23" s="1" t="s">
        <v>127</v>
      </c>
      <c r="AA23" s="5" t="s">
        <v>173</v>
      </c>
    </row>
    <row r="24" spans="2:27" x14ac:dyDescent="0.25">
      <c r="E24" s="5" t="s">
        <v>245</v>
      </c>
      <c r="F24" s="5" t="str" cm="1">
        <f t="array" ref="F24">_xll.BDP(bonds[[#This Row],[worksheet get]],bonds[[#Headers],[ID_ISIN]])</f>
        <v>FR0013292828</v>
      </c>
      <c r="G24" s="5" t="str" cm="1">
        <f t="array" ref="G24">_xll.BDP(bonds[[#This Row],[worksheet get]],bonds[[#Headers],[security name]])</f>
        <v>BNFP 1 3/4 PERP</v>
      </c>
      <c r="H24" s="5" t="str" cm="1">
        <f t="array" ref="H24">_xll.BDP(bonds[[#This Row],[worksheet get]],bonds[[#Headers],[ticker]])</f>
        <v>BNFP</v>
      </c>
      <c r="I24" s="5" cm="1">
        <f t="array" ref="I24">_xll.BDP(bonds[[#This Row],[worksheet get]],bonds[[#Headers],[coupon]])</f>
        <v>1.75</v>
      </c>
      <c r="J24" s="8" cm="1">
        <f t="array" ref="J24">_xll.BDP(bonds[[#This Row],[worksheet get]],bonds[[#Headers],[nxt_call_dt]])*1</f>
        <v>45012</v>
      </c>
      <c r="K24" s="9" t="str" cm="1">
        <f t="array" ref="K24">_xll.BDP(bonds[[#This Row],[worksheet get]],bonds[[#Headers],[mty_typ]])</f>
        <v>PERP/CALL</v>
      </c>
      <c r="L24" s="9" t="str" cm="1">
        <f t="array" ref="L24">_xll.BDP(bonds[[#This Row],[worksheet get]],bonds[[#Headers],[crncy]])</f>
        <v>EUR</v>
      </c>
      <c r="M24" s="10" cm="1">
        <f t="array" ref="M24">_xll.BDP(bonds[[#This Row],[worksheet get]],bonds[[#Headers],[amt_outstanding]])</f>
        <v>1250000000</v>
      </c>
      <c r="N24" s="9" t="str" cm="1">
        <f t="array" ref="N24">_xll.BDP(bonds[[#This Row],[worksheet get]],bonds[[#Headers],[industry_sector]])</f>
        <v>Consumer, Non-cyclical</v>
      </c>
      <c r="O24" s="9" t="str">
        <f>bonds[[#This Row],[security name]]&amp;" nc-"&amp;RIGHT(YEAR(bonds[[#This Row],[nxt_call_dt]]),2)</f>
        <v>BNFP 1 3/4 PERP nc-23</v>
      </c>
      <c r="Q24" s="5" t="str">
        <v>SESGFP</v>
      </c>
      <c r="R24" s="5" t="str">
        <v>COFP</v>
      </c>
      <c r="S24" s="5" t="str">
        <v>KPN</v>
      </c>
      <c r="T24" s="5">
        <v>2</v>
      </c>
      <c r="Z24" s="1" t="s">
        <v>246</v>
      </c>
      <c r="AA24" s="5" t="s">
        <v>173</v>
      </c>
    </row>
    <row r="25" spans="2:27" x14ac:dyDescent="0.25">
      <c r="E25" s="5" t="s">
        <v>247</v>
      </c>
      <c r="F25" s="5" t="str" cm="1">
        <f t="array" ref="F25">_xll.BDP(bonds[[#This Row],[worksheet get]],bonds[[#Headers],[ID_ISIN]])</f>
        <v>XS1797663967</v>
      </c>
      <c r="G25" s="5" t="str" cm="1">
        <f t="array" ref="G25">_xll.BDP(bonds[[#This Row],[worksheet get]],bonds[[#Headers],[security name]])</f>
        <v>ECLEAR 2 5/8 04/11/48</v>
      </c>
      <c r="H25" s="5" t="str" cm="1">
        <f t="array" ref="H25">_xll.BDP(bonds[[#This Row],[worksheet get]],bonds[[#Headers],[ticker]])</f>
        <v>ECLEAR</v>
      </c>
      <c r="I25" s="5" cm="1">
        <f t="array" ref="I25">_xll.BDP(bonds[[#This Row],[worksheet get]],bonds[[#Headers],[coupon]])</f>
        <v>2.625</v>
      </c>
      <c r="J25" s="8" cm="1">
        <f t="array" ref="J25">_xll.BDP(bonds[[#This Row],[worksheet get]],bonds[[#Headers],[nxt_call_dt]])*1</f>
        <v>46854</v>
      </c>
      <c r="K25" s="9" t="str" cm="1">
        <f t="array" ref="K25">_xll.BDP(bonds[[#This Row],[worksheet get]],bonds[[#Headers],[mty_typ]])</f>
        <v>CALLABLE</v>
      </c>
      <c r="L25" s="9" t="str" cm="1">
        <f t="array" ref="L25">_xll.BDP(bonds[[#This Row],[worksheet get]],bonds[[#Headers],[crncy]])</f>
        <v>EUR</v>
      </c>
      <c r="M25" s="10" cm="1">
        <f t="array" ref="M25">_xll.BDP(bonds[[#This Row],[worksheet get]],bonds[[#Headers],[amt_outstanding]])</f>
        <v>400000000</v>
      </c>
      <c r="N25" s="9" t="str" cm="1">
        <f t="array" ref="N25">_xll.BDP(bonds[[#This Row],[worksheet get]],bonds[[#Headers],[industry_sector]])</f>
        <v>Financial</v>
      </c>
      <c r="O25" s="9" t="str">
        <f>bonds[[#This Row],[security name]]&amp;" nc-"&amp;RIGHT(YEAR(bonds[[#This Row],[nxt_call_dt]]),2)</f>
        <v>ECLEAR 2 5/8 04/11/48 nc-28</v>
      </c>
      <c r="Q25" s="5" t="str">
        <v>ORAFP</v>
      </c>
      <c r="R25" s="5" t="str">
        <v>SBRYLN</v>
      </c>
      <c r="S25" s="5" t="str">
        <v>MRKGR</v>
      </c>
      <c r="T25" s="5">
        <v>4</v>
      </c>
      <c r="Z25" s="1" t="s">
        <v>103</v>
      </c>
      <c r="AA25" s="5" t="s">
        <v>173</v>
      </c>
    </row>
    <row r="26" spans="2:27" x14ac:dyDescent="0.25">
      <c r="E26" s="5" t="s">
        <v>59</v>
      </c>
      <c r="F26" s="5" t="str" cm="1">
        <f t="array" ref="F26">_xll.BDP(bonds[[#This Row],[worksheet get]],bonds[[#Headers],[ID_ISIN]])</f>
        <v>DE000A161W62</v>
      </c>
      <c r="G26" s="5" t="str" cm="1">
        <f t="array" ref="G26">_xll.BDP(bonds[[#This Row],[worksheet get]],bonds[[#Headers],[security name]])</f>
        <v>DBOERS 2 3/4 02/05/41</v>
      </c>
      <c r="H26" s="5" t="str" cm="1">
        <f t="array" ref="H26">_xll.BDP(bonds[[#This Row],[worksheet get]],bonds[[#Headers],[ticker]])</f>
        <v>DBOERS</v>
      </c>
      <c r="I26" s="5" cm="1">
        <f t="array" ref="I26">_xll.BDP(bonds[[#This Row],[worksheet get]],bonds[[#Headers],[coupon]])</f>
        <v>2.75</v>
      </c>
      <c r="J26" s="8" cm="1">
        <f t="array" ref="J26">_xll.BDP(bonds[[#This Row],[worksheet get]],bonds[[#Headers],[nxt_call_dt]])*1</f>
        <v>44140</v>
      </c>
      <c r="K26" s="9" t="str" cm="1">
        <f t="array" ref="K26">_xll.BDP(bonds[[#This Row],[worksheet get]],bonds[[#Headers],[mty_typ]])</f>
        <v>CALLABLE</v>
      </c>
      <c r="L26" s="9" t="str" cm="1">
        <f t="array" ref="L26">_xll.BDP(bonds[[#This Row],[worksheet get]],bonds[[#Headers],[crncy]])</f>
        <v>EUR</v>
      </c>
      <c r="M26" s="10" cm="1">
        <f t="array" ref="M26">_xll.BDP(bonds[[#This Row],[worksheet get]],bonds[[#Headers],[amt_outstanding]])</f>
        <v>315063000</v>
      </c>
      <c r="N26" s="9" t="str" cm="1">
        <f t="array" ref="N26">_xll.BDP(bonds[[#This Row],[worksheet get]],bonds[[#Headers],[industry_sector]])</f>
        <v>Financial</v>
      </c>
      <c r="O26" s="9" t="str">
        <f>bonds[[#This Row],[security name]]&amp;" nc-"&amp;RIGHT(YEAR(bonds[[#This Row],[nxt_call_dt]]),2)</f>
        <v>DBOERS 2 3/4 02/05/41 nc-20</v>
      </c>
      <c r="Q26" s="5" t="str">
        <v>TELEFO</v>
      </c>
      <c r="R26" s="5" t="str">
        <v>WIEAV</v>
      </c>
      <c r="S26" s="5" t="str">
        <v>NGGLN</v>
      </c>
      <c r="T26" s="5">
        <v>3</v>
      </c>
      <c r="Z26" s="1" t="s">
        <v>248</v>
      </c>
      <c r="AA26" s="5" t="s">
        <v>173</v>
      </c>
    </row>
    <row r="27" spans="2:27" x14ac:dyDescent="0.25">
      <c r="E27" s="5" t="s">
        <v>60</v>
      </c>
      <c r="F27" s="5" t="str" cm="1">
        <f t="array" ref="F27">_xll.BDP(bonds[[#This Row],[worksheet get]],bonds[[#Headers],[ID_ISIN]])</f>
        <v>DE000A289N78</v>
      </c>
      <c r="G27" s="5" t="str" cm="1">
        <f t="array" ref="G27">_xll.BDP(bonds[[#This Row],[worksheet get]],bonds[[#Headers],[security name]])</f>
        <v>DBOERS 1 1/4 06/16/47</v>
      </c>
      <c r="H27" s="5" t="str" cm="1">
        <f t="array" ref="H27">_xll.BDP(bonds[[#This Row],[worksheet get]],bonds[[#Headers],[ticker]])</f>
        <v>DBOERS</v>
      </c>
      <c r="I27" s="5" cm="1">
        <f t="array" ref="I27">_xll.BDP(bonds[[#This Row],[worksheet get]],bonds[[#Headers],[coupon]])</f>
        <v>1.25</v>
      </c>
      <c r="J27" s="8" cm="1">
        <f t="array" ref="J27">_xll.BDP(bonds[[#This Row],[worksheet get]],bonds[[#Headers],[nxt_call_dt]])*1</f>
        <v>46462</v>
      </c>
      <c r="K27" s="9" t="str" cm="1">
        <f t="array" ref="K27">_xll.BDP(bonds[[#This Row],[worksheet get]],bonds[[#Headers],[mty_typ]])</f>
        <v>CALLABLE</v>
      </c>
      <c r="L27" s="9" t="str" cm="1">
        <f t="array" ref="L27">_xll.BDP(bonds[[#This Row],[worksheet get]],bonds[[#Headers],[crncy]])</f>
        <v>EUR</v>
      </c>
      <c r="M27" s="10" cm="1">
        <f t="array" ref="M27">_xll.BDP(bonds[[#This Row],[worksheet get]],bonds[[#Headers],[amt_outstanding]])</f>
        <v>600000000</v>
      </c>
      <c r="N27" s="9" t="str" cm="1">
        <f t="array" ref="N27">_xll.BDP(bonds[[#This Row],[worksheet get]],bonds[[#Headers],[industry_sector]])</f>
        <v>Financial</v>
      </c>
      <c r="O27" s="9" t="str">
        <f>bonds[[#This Row],[security name]]&amp;" nc-"&amp;RIGHT(YEAR(bonds[[#This Row],[nxt_call_dt]]),2)</f>
        <v>DBOERS 1 1/4 06/16/47 nc-27</v>
      </c>
      <c r="Q27" s="5" t="str">
        <v>VOD</v>
      </c>
      <c r="S27" s="5" t="str">
        <v>NTGYSM</v>
      </c>
      <c r="T27" s="5">
        <v>2</v>
      </c>
      <c r="Z27" s="1" t="s">
        <v>133</v>
      </c>
      <c r="AA27" s="5" t="s">
        <v>176</v>
      </c>
    </row>
    <row r="28" spans="2:27" x14ac:dyDescent="0.25">
      <c r="E28" s="5" t="s">
        <v>110</v>
      </c>
      <c r="F28" s="5" t="str" cm="1">
        <f t="array" ref="F28">_xll.BDP(bonds[[#This Row],[worksheet get]],bonds[[#Headers],[ID_ISIN]])</f>
        <v>XS2010039035</v>
      </c>
      <c r="G28" s="5" t="str" cm="1">
        <f t="array" ref="G28">_xll.BDP(bonds[[#This Row],[worksheet get]],bonds[[#Headers],[security name]])</f>
        <v>DBHNGR 0.95 PERP</v>
      </c>
      <c r="H28" s="5" t="str" cm="1">
        <f t="array" ref="H28">_xll.BDP(bonds[[#This Row],[worksheet get]],bonds[[#Headers],[ticker]])</f>
        <v>DBHNGR</v>
      </c>
      <c r="I28" s="5" cm="1">
        <f t="array" ref="I28">_xll.BDP(bonds[[#This Row],[worksheet get]],bonds[[#Headers],[coupon]])</f>
        <v>0.95</v>
      </c>
      <c r="J28" s="8" cm="1">
        <f t="array" ref="J28">_xll.BDP(bonds[[#This Row],[worksheet get]],bonds[[#Headers],[nxt_call_dt]])*1</f>
        <v>45679</v>
      </c>
      <c r="K28" s="9" t="str" cm="1">
        <f t="array" ref="K28">_xll.BDP(bonds[[#This Row],[worksheet get]],bonds[[#Headers],[mty_typ]])</f>
        <v>PERP/CALL</v>
      </c>
      <c r="L28" s="9" t="str" cm="1">
        <f t="array" ref="L28">_xll.BDP(bonds[[#This Row],[worksheet get]],bonds[[#Headers],[crncy]])</f>
        <v>EUR</v>
      </c>
      <c r="M28" s="10" cm="1">
        <f t="array" ref="M28">_xll.BDP(bonds[[#This Row],[worksheet get]],bonds[[#Headers],[amt_outstanding]])</f>
        <v>1000000000</v>
      </c>
      <c r="N28" s="9" t="str" cm="1">
        <f t="array" ref="N28">_xll.BDP(bonds[[#This Row],[worksheet get]],bonds[[#Headers],[industry_sector]])</f>
        <v>Industrial</v>
      </c>
      <c r="O28" s="9" t="str">
        <f>bonds[[#This Row],[security name]]&amp;" nc-"&amp;RIGHT(YEAR(bonds[[#This Row],[nxt_call_dt]]),2)</f>
        <v>DBHNGR 0.95 PERP nc-25</v>
      </c>
      <c r="Q28" s="5" t="str">
        <v>BRITEL</v>
      </c>
      <c r="S28" s="5" t="str">
        <v>OMVAV</v>
      </c>
      <c r="T28" s="5">
        <v>3</v>
      </c>
      <c r="Z28" s="1" t="s">
        <v>76</v>
      </c>
      <c r="AA28" s="5" t="s">
        <v>176</v>
      </c>
    </row>
    <row r="29" spans="2:27" x14ac:dyDescent="0.25">
      <c r="E29" s="5" t="s">
        <v>111</v>
      </c>
      <c r="F29" s="5" t="str" cm="1">
        <f t="array" ref="F29">_xll.BDP(bonds[[#This Row],[worksheet get]],bonds[[#Headers],[ID_ISIN]])</f>
        <v>XS2010039548</v>
      </c>
      <c r="G29" s="5" t="str" cm="1">
        <f t="array" ref="G29">_xll.BDP(bonds[[#This Row],[worksheet get]],bonds[[#Headers],[security name]])</f>
        <v>DBHNGR 1.6 PERP</v>
      </c>
      <c r="H29" s="5" t="str" cm="1">
        <f t="array" ref="H29">_xll.BDP(bonds[[#This Row],[worksheet get]],bonds[[#Headers],[ticker]])</f>
        <v>DBHNGR</v>
      </c>
      <c r="I29" s="5" cm="1">
        <f t="array" ref="I29">_xll.BDP(bonds[[#This Row],[worksheet get]],bonds[[#Headers],[coupon]])</f>
        <v>1.6</v>
      </c>
      <c r="J29" s="8" cm="1">
        <f t="array" ref="J29">_xll.BDP(bonds[[#This Row],[worksheet get]],bonds[[#Headers],[nxt_call_dt]])*1</f>
        <v>47317</v>
      </c>
      <c r="K29" s="9" t="str" cm="1">
        <f t="array" ref="K29">_xll.BDP(bonds[[#This Row],[worksheet get]],bonds[[#Headers],[mty_typ]])</f>
        <v>PERP/CALL</v>
      </c>
      <c r="L29" s="9" t="str" cm="1">
        <f t="array" ref="L29">_xll.BDP(bonds[[#This Row],[worksheet get]],bonds[[#Headers],[crncy]])</f>
        <v>EUR</v>
      </c>
      <c r="M29" s="10" cm="1">
        <f t="array" ref="M29">_xll.BDP(bonds[[#This Row],[worksheet get]],bonds[[#Headers],[amt_outstanding]])</f>
        <v>1000000000</v>
      </c>
      <c r="N29" s="9" t="str" cm="1">
        <f t="array" ref="N29">_xll.BDP(bonds[[#This Row],[worksheet get]],bonds[[#Headers],[industry_sector]])</f>
        <v>Industrial</v>
      </c>
      <c r="O29" s="9" t="str">
        <f>bonds[[#This Row],[security name]]&amp;" nc-"&amp;RIGHT(YEAR(bonds[[#This Row],[nxt_call_dt]]),2)</f>
        <v>DBHNGR 1.6 PERP nc-29</v>
      </c>
      <c r="Q29" s="5" t="str">
        <v>IFXGR</v>
      </c>
      <c r="S29" s="5" t="str">
        <v>ORAFP</v>
      </c>
      <c r="T29" s="5">
        <v>7</v>
      </c>
      <c r="Z29" s="1" t="s">
        <v>55</v>
      </c>
      <c r="AA29" s="5" t="s">
        <v>176</v>
      </c>
    </row>
    <row r="30" spans="2:27" x14ac:dyDescent="0.25">
      <c r="E30" s="5" t="s">
        <v>249</v>
      </c>
      <c r="F30" s="5" t="str" cm="1">
        <f t="array" ref="F30">_xll.BDP(bonds[[#This Row],[worksheet get]],bonds[[#Headers],[ID_ISIN]])</f>
        <v>XS1294342792</v>
      </c>
      <c r="G30" s="5" t="str" cm="1">
        <f t="array" ref="G30">_xll.BDP(bonds[[#This Row],[worksheet get]],bonds[[#Headers],[security name]])</f>
        <v>OMVAV 5 1/4 PERP</v>
      </c>
      <c r="H30" s="5" t="str" cm="1">
        <f t="array" ref="H30">_xll.BDP(bonds[[#This Row],[worksheet get]],bonds[[#Headers],[ticker]])</f>
        <v>OMVAV</v>
      </c>
      <c r="I30" s="5" cm="1">
        <f t="array" ref="I30">_xll.BDP(bonds[[#This Row],[worksheet get]],bonds[[#Headers],[coupon]])</f>
        <v>5.25</v>
      </c>
      <c r="J30" s="8" cm="1">
        <f t="array" ref="J30">_xll.BDP(bonds[[#This Row],[worksheet get]],bonds[[#Headers],[nxt_call_dt]])*1</f>
        <v>44539</v>
      </c>
      <c r="K30" s="9" t="str" cm="1">
        <f t="array" ref="K30">_xll.BDP(bonds[[#This Row],[worksheet get]],bonds[[#Headers],[mty_typ]])</f>
        <v>PERP/CALL</v>
      </c>
      <c r="L30" s="9" t="str" cm="1">
        <f t="array" ref="L30">_xll.BDP(bonds[[#This Row],[worksheet get]],bonds[[#Headers],[crncy]])</f>
        <v>EUR</v>
      </c>
      <c r="M30" s="10" cm="1">
        <f t="array" ref="M30">_xll.BDP(bonds[[#This Row],[worksheet get]],bonds[[#Headers],[amt_outstanding]])</f>
        <v>750000000</v>
      </c>
      <c r="N30" s="9" t="str" cm="1">
        <f t="array" ref="N30">_xll.BDP(bonds[[#This Row],[worksheet get]],bonds[[#Headers],[industry_sector]])</f>
        <v>Energy</v>
      </c>
      <c r="O30" s="9" t="str">
        <f>bonds[[#This Row],[security name]]&amp;" nc-"&amp;RIGHT(YEAR(bonds[[#This Row],[nxt_call_dt]]),2)</f>
        <v>OMVAV 5 1/4 PERP nc-21</v>
      </c>
      <c r="Q30" s="5" t="str">
        <v>T</v>
      </c>
      <c r="S30" s="5" t="str">
        <v>ORSTED</v>
      </c>
      <c r="T30" s="5">
        <v>4</v>
      </c>
      <c r="Z30" s="1" t="s">
        <v>94</v>
      </c>
      <c r="AA30" s="5" t="s">
        <v>176</v>
      </c>
    </row>
    <row r="31" spans="2:27" x14ac:dyDescent="0.25">
      <c r="E31" s="5" t="s">
        <v>250</v>
      </c>
      <c r="F31" s="5" t="str" cm="1">
        <f t="array" ref="F31">_xll.BDP(bonds[[#This Row],[worksheet get]],bonds[[#Headers],[ID_ISIN]])</f>
        <v>XS1713462403</v>
      </c>
      <c r="G31" s="5" t="str" cm="1">
        <f t="array" ref="G31">_xll.BDP(bonds[[#This Row],[worksheet get]],bonds[[#Headers],[security name]])</f>
        <v>OMVAV 2 7/8 PERP</v>
      </c>
      <c r="H31" s="5" t="str" cm="1">
        <f t="array" ref="H31">_xll.BDP(bonds[[#This Row],[worksheet get]],bonds[[#Headers],[ticker]])</f>
        <v>OMVAV</v>
      </c>
      <c r="I31" s="5" cm="1">
        <f t="array" ref="I31">_xll.BDP(bonds[[#This Row],[worksheet get]],bonds[[#Headers],[coupon]])</f>
        <v>2.875</v>
      </c>
      <c r="J31" s="8" cm="1">
        <f t="array" ref="J31">_xll.BDP(bonds[[#This Row],[worksheet get]],bonds[[#Headers],[nxt_call_dt]])*1</f>
        <v>45370</v>
      </c>
      <c r="K31" s="9" t="str" cm="1">
        <f t="array" ref="K31">_xll.BDP(bonds[[#This Row],[worksheet get]],bonds[[#Headers],[mty_typ]])</f>
        <v>PERP/CALL</v>
      </c>
      <c r="L31" s="9" t="str" cm="1">
        <f t="array" ref="L31">_xll.BDP(bonds[[#This Row],[worksheet get]],bonds[[#Headers],[crncy]])</f>
        <v>EUR</v>
      </c>
      <c r="M31" s="10" cm="1">
        <f t="array" ref="M31">_xll.BDP(bonds[[#This Row],[worksheet get]],bonds[[#Headers],[amt_outstanding]])</f>
        <v>500000000</v>
      </c>
      <c r="N31" s="9" t="str" cm="1">
        <f t="array" ref="N31">_xll.BDP(bonds[[#This Row],[worksheet get]],bonds[[#Headers],[industry_sector]])</f>
        <v>Energy</v>
      </c>
      <c r="O31" s="9" t="str">
        <f>bonds[[#This Row],[security name]]&amp;" nc-"&amp;RIGHT(YEAR(bonds[[#This Row],[nxt_call_dt]]),2)</f>
        <v>OMVAV 2 7/8 PERP nc-24</v>
      </c>
      <c r="Q31" s="5" t="str">
        <v>ENGIFP</v>
      </c>
      <c r="S31" s="5" t="str">
        <v>REPSM</v>
      </c>
      <c r="T31" s="5">
        <v>4</v>
      </c>
      <c r="Z31" s="1" t="s">
        <v>136</v>
      </c>
      <c r="AA31" s="5" t="s">
        <v>176</v>
      </c>
    </row>
    <row r="32" spans="2:27" x14ac:dyDescent="0.25">
      <c r="E32" s="5" t="s">
        <v>251</v>
      </c>
      <c r="F32" s="5" t="str" cm="1">
        <f t="array" ref="F32">_xll.BDP(bonds[[#This Row],[worksheet get]],bonds[[#Headers],[ID_ISIN]])</f>
        <v>XS1294343337</v>
      </c>
      <c r="G32" s="5" t="str" cm="1">
        <f t="array" ref="G32">_xll.BDP(bonds[[#This Row],[worksheet get]],bonds[[#Headers],[security name]])</f>
        <v>OMVAV 6 1/4 PERP</v>
      </c>
      <c r="H32" s="5" t="str" cm="1">
        <f t="array" ref="H32">_xll.BDP(bonds[[#This Row],[worksheet get]],bonds[[#Headers],[ticker]])</f>
        <v>OMVAV</v>
      </c>
      <c r="I32" s="5" cm="1">
        <f t="array" ref="I32">_xll.BDP(bonds[[#This Row],[worksheet get]],bonds[[#Headers],[coupon]])</f>
        <v>6.25</v>
      </c>
      <c r="J32" s="8" cm="1">
        <f t="array" ref="J32">_xll.BDP(bonds[[#This Row],[worksheet get]],bonds[[#Headers],[nxt_call_dt]])*1</f>
        <v>46000</v>
      </c>
      <c r="K32" s="9" t="str" cm="1">
        <f t="array" ref="K32">_xll.BDP(bonds[[#This Row],[worksheet get]],bonds[[#Headers],[mty_typ]])</f>
        <v>PERP/CALL</v>
      </c>
      <c r="L32" s="9" t="str" cm="1">
        <f t="array" ref="L32">_xll.BDP(bonds[[#This Row],[worksheet get]],bonds[[#Headers],[crncy]])</f>
        <v>EUR</v>
      </c>
      <c r="M32" s="10" cm="1">
        <f t="array" ref="M32">_xll.BDP(bonds[[#This Row],[worksheet get]],bonds[[#Headers],[amt_outstanding]])</f>
        <v>750000000</v>
      </c>
      <c r="N32" s="9" t="str" cm="1">
        <f t="array" ref="N32">_xll.BDP(bonds[[#This Row],[worksheet get]],bonds[[#Headers],[industry_sector]])</f>
        <v>Energy</v>
      </c>
      <c r="O32" s="9" t="str">
        <f>bonds[[#This Row],[security name]]&amp;" nc-"&amp;RIGHT(YEAR(bonds[[#This Row],[nxt_call_dt]]),2)</f>
        <v>OMVAV 6 1/4 PERP nc-25</v>
      </c>
      <c r="Q32" s="5" t="str">
        <v>SEVFP</v>
      </c>
      <c r="S32" s="5" t="str">
        <v>RWE</v>
      </c>
      <c r="T32" s="5">
        <v>3</v>
      </c>
      <c r="Z32" s="1" t="s">
        <v>252</v>
      </c>
      <c r="AA32" s="5" t="s">
        <v>176</v>
      </c>
    </row>
    <row r="33" spans="5:27" x14ac:dyDescent="0.25">
      <c r="E33" s="5" t="s">
        <v>253</v>
      </c>
      <c r="F33" s="5" t="str" cm="1">
        <f t="array" ref="F33">_xll.BDP(bonds[[#This Row],[worksheet get]],bonds[[#Headers],[ID_ISIN]])</f>
        <v>XS1207054666</v>
      </c>
      <c r="G33" s="5" t="str" cm="1">
        <f t="array" ref="G33">_xll.BDP(bonds[[#This Row],[worksheet get]],bonds[[#Headers],[security name]])</f>
        <v>REPSM 3 7/8 PERP</v>
      </c>
      <c r="H33" s="5" t="str" cm="1">
        <f t="array" ref="H33">_xll.BDP(bonds[[#This Row],[worksheet get]],bonds[[#Headers],[ticker]])</f>
        <v>REPSM</v>
      </c>
      <c r="I33" s="5" cm="1">
        <f t="array" ref="I33">_xll.BDP(bonds[[#This Row],[worksheet get]],bonds[[#Headers],[coupon]])</f>
        <v>3.875</v>
      </c>
      <c r="J33" s="8" cm="1">
        <f t="array" ref="J33">_xll.BDP(bonds[[#This Row],[worksheet get]],bonds[[#Headers],[nxt_call_dt]])*1</f>
        <v>44280</v>
      </c>
      <c r="K33" s="9" t="str" cm="1">
        <f t="array" ref="K33">_xll.BDP(bonds[[#This Row],[worksheet get]],bonds[[#Headers],[mty_typ]])</f>
        <v>PERP/CALL</v>
      </c>
      <c r="L33" s="9" t="str" cm="1">
        <f t="array" ref="L33">_xll.BDP(bonds[[#This Row],[worksheet get]],bonds[[#Headers],[crncy]])</f>
        <v>EUR</v>
      </c>
      <c r="M33" s="10" cm="1">
        <f t="array" ref="M33">_xll.BDP(bonds[[#This Row],[worksheet get]],bonds[[#Headers],[amt_outstanding]])</f>
        <v>406277000</v>
      </c>
      <c r="N33" s="9" t="str" cm="1">
        <f t="array" ref="N33">_xll.BDP(bonds[[#This Row],[worksheet get]],bonds[[#Headers],[industry_sector]])</f>
        <v>Energy</v>
      </c>
      <c r="O33" s="9" t="str">
        <f>bonds[[#This Row],[security name]]&amp;" nc-"&amp;RIGHT(YEAR(bonds[[#This Row],[nxt_call_dt]]),2)</f>
        <v>REPSM 3 7/8 PERP nc-21</v>
      </c>
      <c r="Q33" s="5" t="str">
        <v>EDF</v>
      </c>
      <c r="S33" s="5" t="str">
        <v>SBBBSS</v>
      </c>
      <c r="T33" s="5">
        <v>2</v>
      </c>
      <c r="Z33" s="1" t="s">
        <v>254</v>
      </c>
      <c r="AA33" s="5" t="s">
        <v>176</v>
      </c>
    </row>
    <row r="34" spans="5:27" x14ac:dyDescent="0.25">
      <c r="E34" s="5" t="s">
        <v>255</v>
      </c>
      <c r="F34" s="5" t="str" cm="1">
        <f t="array" ref="F34">_xll.BDP(bonds[[#This Row],[worksheet get]],bonds[[#Headers],[ID_ISIN]])</f>
        <v>XS1207058733</v>
      </c>
      <c r="G34" s="5" t="str" cm="1">
        <f t="array" ref="G34">_xll.BDP(bonds[[#This Row],[worksheet get]],bonds[[#Headers],[security name]])</f>
        <v>REPSM 4 1/2 03/25/75</v>
      </c>
      <c r="H34" s="5" t="str" cm="1">
        <f t="array" ref="H34">_xll.BDP(bonds[[#This Row],[worksheet get]],bonds[[#Headers],[ticker]])</f>
        <v>REPSM</v>
      </c>
      <c r="I34" s="5" cm="1">
        <f t="array" ref="I34">_xll.BDP(bonds[[#This Row],[worksheet get]],bonds[[#Headers],[coupon]])</f>
        <v>4.5</v>
      </c>
      <c r="J34" s="8" cm="1">
        <f t="array" ref="J34">_xll.BDP(bonds[[#This Row],[worksheet get]],bonds[[#Headers],[nxt_call_dt]])*1</f>
        <v>45741</v>
      </c>
      <c r="K34" s="9" t="str" cm="1">
        <f t="array" ref="K34">_xll.BDP(bonds[[#This Row],[worksheet get]],bonds[[#Headers],[mty_typ]])</f>
        <v>CALLABLE</v>
      </c>
      <c r="L34" s="9" t="str" cm="1">
        <f t="array" ref="L34">_xll.BDP(bonds[[#This Row],[worksheet get]],bonds[[#Headers],[crncy]])</f>
        <v>EUR</v>
      </c>
      <c r="M34" s="10" cm="1">
        <f t="array" ref="M34">_xll.BDP(bonds[[#This Row],[worksheet get]],bonds[[#Headers],[amt_outstanding]])</f>
        <v>1000000000</v>
      </c>
      <c r="N34" s="9" t="str" cm="1">
        <f t="array" ref="N34">_xll.BDP(bonds[[#This Row],[worksheet get]],bonds[[#Headers],[industry_sector]])</f>
        <v>Energy</v>
      </c>
      <c r="O34" s="9" t="str">
        <f>bonds[[#This Row],[security name]]&amp;" nc-"&amp;RIGHT(YEAR(bonds[[#This Row],[nxt_call_dt]]),2)</f>
        <v>REPSM 4 1/2 03/25/75 nc-25</v>
      </c>
      <c r="Q34" s="5" t="str">
        <v>ENBW</v>
      </c>
      <c r="S34" s="5" t="str">
        <v>SESGFP</v>
      </c>
      <c r="T34" s="5">
        <v>2</v>
      </c>
      <c r="Z34" s="1" t="s">
        <v>61</v>
      </c>
      <c r="AA34" s="5" t="s">
        <v>176</v>
      </c>
    </row>
    <row r="35" spans="5:27" x14ac:dyDescent="0.25">
      <c r="E35" s="5" t="s">
        <v>48</v>
      </c>
      <c r="F35" s="5" t="str" cm="1">
        <f t="array" ref="F35">_xll.BDP(bonds[[#This Row],[worksheet get]],bonds[[#Headers],[ID_ISIN]])</f>
        <v>XS2185997884</v>
      </c>
      <c r="G35" s="5" t="str" cm="1">
        <f t="array" ref="G35">_xll.BDP(bonds[[#This Row],[worksheet get]],bonds[[#Headers],[security name]])</f>
        <v>REPSM 3 3/4 PERP</v>
      </c>
      <c r="H35" s="5" t="str" cm="1">
        <f t="array" ref="H35">_xll.BDP(bonds[[#This Row],[worksheet get]],bonds[[#Headers],[ticker]])</f>
        <v>REPSM</v>
      </c>
      <c r="I35" s="5" cm="1">
        <f t="array" ref="I35">_xll.BDP(bonds[[#This Row],[worksheet get]],bonds[[#Headers],[coupon]])</f>
        <v>3.75</v>
      </c>
      <c r="J35" s="8" cm="1">
        <f t="array" ref="J35">_xll.BDP(bonds[[#This Row],[worksheet get]],bonds[[#Headers],[nxt_call_dt]])*1</f>
        <v>46092</v>
      </c>
      <c r="K35" s="9" t="str" cm="1">
        <f t="array" ref="K35">_xll.BDP(bonds[[#This Row],[worksheet get]],bonds[[#Headers],[mty_typ]])</f>
        <v>PERP/CALL</v>
      </c>
      <c r="L35" s="9" t="str" cm="1">
        <f t="array" ref="L35">_xll.BDP(bonds[[#This Row],[worksheet get]],bonds[[#Headers],[crncy]])</f>
        <v>EUR</v>
      </c>
      <c r="M35" s="10" cm="1">
        <f t="array" ref="M35">_xll.BDP(bonds[[#This Row],[worksheet get]],bonds[[#Headers],[amt_outstanding]])</f>
        <v>750000000</v>
      </c>
      <c r="N35" s="9" t="str" cm="1">
        <f t="array" ref="N35">_xll.BDP(bonds[[#This Row],[worksheet get]],bonds[[#Headers],[industry_sector]])</f>
        <v>Energy</v>
      </c>
      <c r="O35" s="9" t="str">
        <f>bonds[[#This Row],[security name]]&amp;" nc-"&amp;RIGHT(YEAR(bonds[[#This Row],[nxt_call_dt]]),2)</f>
        <v>REPSM 3 3/4 PERP nc-26</v>
      </c>
      <c r="Q35" s="5" t="str">
        <v>RWE</v>
      </c>
      <c r="S35" s="5" t="str">
        <v>SEVFP</v>
      </c>
      <c r="T35" s="5">
        <v>3</v>
      </c>
      <c r="Z35" s="1" t="s">
        <v>121</v>
      </c>
      <c r="AA35" s="5" t="s">
        <v>176</v>
      </c>
    </row>
    <row r="36" spans="5:27" x14ac:dyDescent="0.25">
      <c r="E36" s="5" t="s">
        <v>256</v>
      </c>
      <c r="F36" s="5" t="str" cm="1">
        <f t="array" ref="F36">_xll.BDP(bonds[[#This Row],[worksheet get]],bonds[[#Headers],[ID_ISIN]])</f>
        <v>XS2186001314</v>
      </c>
      <c r="G36" s="5" t="str" cm="1">
        <f t="array" ref="G36">_xll.BDP(bonds[[#This Row],[worksheet get]],bonds[[#Headers],[security name]])</f>
        <v>REPSM 4.247 PERP</v>
      </c>
      <c r="H36" s="5" t="str" cm="1">
        <f t="array" ref="H36">_xll.BDP(bonds[[#This Row],[worksheet get]],bonds[[#Headers],[ticker]])</f>
        <v>REPSM</v>
      </c>
      <c r="I36" s="5" cm="1">
        <f t="array" ref="I36">_xll.BDP(bonds[[#This Row],[worksheet get]],bonds[[#Headers],[coupon]])</f>
        <v>4.2469999999999999</v>
      </c>
      <c r="J36" s="8" cm="1">
        <f t="array" ref="J36">_xll.BDP(bonds[[#This Row],[worksheet get]],bonds[[#Headers],[nxt_call_dt]])*1</f>
        <v>47007</v>
      </c>
      <c r="K36" s="9" t="str" cm="1">
        <f t="array" ref="K36">_xll.BDP(bonds[[#This Row],[worksheet get]],bonds[[#Headers],[mty_typ]])</f>
        <v>PERP/CALL</v>
      </c>
      <c r="L36" s="9" t="str" cm="1">
        <f t="array" ref="L36">_xll.BDP(bonds[[#This Row],[worksheet get]],bonds[[#Headers],[crncy]])</f>
        <v>EUR</v>
      </c>
      <c r="M36" s="10" cm="1">
        <f t="array" ref="M36">_xll.BDP(bonds[[#This Row],[worksheet get]],bonds[[#Headers],[amt_outstanding]])</f>
        <v>750000000</v>
      </c>
      <c r="N36" s="9" t="str" cm="1">
        <f t="array" ref="N36">_xll.BDP(bonds[[#This Row],[worksheet get]],bonds[[#Headers],[industry_sector]])</f>
        <v>Energy</v>
      </c>
      <c r="O36" s="9" t="str">
        <f>bonds[[#This Row],[security name]]&amp;" nc-"&amp;RIGHT(YEAR(bonds[[#This Row],[nxt_call_dt]]),2)</f>
        <v>REPSM 4.247 PERP nc-28</v>
      </c>
      <c r="Q36" s="5" t="str">
        <v>TENN</v>
      </c>
      <c r="S36" s="5" t="str">
        <v>SOFTBK</v>
      </c>
      <c r="T36" s="5">
        <v>2</v>
      </c>
      <c r="Z36" s="1" t="s">
        <v>52</v>
      </c>
      <c r="AA36" s="5" t="s">
        <v>176</v>
      </c>
    </row>
    <row r="37" spans="5:27" x14ac:dyDescent="0.25">
      <c r="E37" s="5" t="s">
        <v>83</v>
      </c>
      <c r="F37" s="5" t="str" cm="1">
        <f t="array" ref="F37">_xll.BDP(bonds[[#This Row],[worksheet get]],bonds[[#Headers],[ID_ISIN]])</f>
        <v>XS2193661324</v>
      </c>
      <c r="G37" s="5" t="str" cm="1">
        <f t="array" ref="G37">_xll.BDP(bonds[[#This Row],[worksheet get]],bonds[[#Headers],[security name]])</f>
        <v>BPLN 3 1/4 PERP</v>
      </c>
      <c r="H37" s="5" t="str" cm="1">
        <f t="array" ref="H37">_xll.BDP(bonds[[#This Row],[worksheet get]],bonds[[#Headers],[ticker]])</f>
        <v>BPLN</v>
      </c>
      <c r="I37" s="5" cm="1">
        <f t="array" ref="I37">_xll.BDP(bonds[[#This Row],[worksheet get]],bonds[[#Headers],[coupon]])</f>
        <v>3.25</v>
      </c>
      <c r="J37" s="8" cm="1">
        <f t="array" ref="J37">_xll.BDP(bonds[[#This Row],[worksheet get]],bonds[[#Headers],[nxt_call_dt]])*1</f>
        <v>46103</v>
      </c>
      <c r="K37" s="9" t="str" cm="1">
        <f t="array" ref="K37">_xll.BDP(bonds[[#This Row],[worksheet get]],bonds[[#Headers],[mty_typ]])</f>
        <v>PERP/CALL</v>
      </c>
      <c r="L37" s="9" t="str" cm="1">
        <f t="array" ref="L37">_xll.BDP(bonds[[#This Row],[worksheet get]],bonds[[#Headers],[crncy]])</f>
        <v>EUR</v>
      </c>
      <c r="M37" s="10" cm="1">
        <f t="array" ref="M37">_xll.BDP(bonds[[#This Row],[worksheet get]],bonds[[#Headers],[amt_outstanding]])</f>
        <v>2500000000</v>
      </c>
      <c r="N37" s="9" t="str" cm="1">
        <f t="array" ref="N37">_xll.BDP(bonds[[#This Row],[worksheet get]],bonds[[#Headers],[industry_sector]])</f>
        <v>Energy</v>
      </c>
      <c r="O37" s="9" t="str">
        <f>bonds[[#This Row],[security name]]&amp;" nc-"&amp;RIGHT(YEAR(bonds[[#This Row],[nxt_call_dt]]),2)</f>
        <v>BPLN 3 1/4 PERP nc-26</v>
      </c>
      <c r="Q37" s="5" t="str">
        <v>VATFAL</v>
      </c>
      <c r="S37" s="5" t="str">
        <v>SOLBBB</v>
      </c>
      <c r="T37" s="5">
        <v>4</v>
      </c>
      <c r="Z37" s="1" t="s">
        <v>257</v>
      </c>
      <c r="AA37" s="5" t="s">
        <v>176</v>
      </c>
    </row>
    <row r="38" spans="5:27" x14ac:dyDescent="0.25">
      <c r="E38" s="5" t="s">
        <v>84</v>
      </c>
      <c r="F38" s="5" t="str" cm="1">
        <f t="array" ref="F38">_xll.BDP(bonds[[#This Row],[worksheet get]],bonds[[#Headers],[ID_ISIN]])</f>
        <v>XS2193662728</v>
      </c>
      <c r="G38" s="5" t="str" cm="1">
        <f t="array" ref="G38">_xll.BDP(bonds[[#This Row],[worksheet get]],bonds[[#Headers],[security name]])</f>
        <v>BPLN 3 5/8 PERP</v>
      </c>
      <c r="H38" s="5" t="str" cm="1">
        <f t="array" ref="H38">_xll.BDP(bonds[[#This Row],[worksheet get]],bonds[[#Headers],[ticker]])</f>
        <v>BPLN</v>
      </c>
      <c r="I38" s="5" cm="1">
        <f t="array" ref="I38">_xll.BDP(bonds[[#This Row],[worksheet get]],bonds[[#Headers],[coupon]])</f>
        <v>3.625</v>
      </c>
      <c r="J38" s="8" cm="1">
        <f t="array" ref="J38">_xll.BDP(bonds[[#This Row],[worksheet get]],bonds[[#Headers],[nxt_call_dt]])*1</f>
        <v>47199</v>
      </c>
      <c r="K38" s="9" t="str" cm="1">
        <f t="array" ref="K38">_xll.BDP(bonds[[#This Row],[worksheet get]],bonds[[#Headers],[mty_typ]])</f>
        <v>PERP/CALL</v>
      </c>
      <c r="L38" s="9" t="str" cm="1">
        <f t="array" ref="L38">_xll.BDP(bonds[[#This Row],[worksheet get]],bonds[[#Headers],[crncy]])</f>
        <v>EUR</v>
      </c>
      <c r="M38" s="10" cm="1">
        <f t="array" ref="M38">_xll.BDP(bonds[[#This Row],[worksheet get]],bonds[[#Headers],[amt_outstanding]])</f>
        <v>2250000000</v>
      </c>
      <c r="N38" s="9" t="str" cm="1">
        <f t="array" ref="N38">_xll.BDP(bonds[[#This Row],[worksheet get]],bonds[[#Headers],[industry_sector]])</f>
        <v>Energy</v>
      </c>
      <c r="O38" s="9" t="str">
        <f>bonds[[#This Row],[security name]]&amp;" nc-"&amp;RIGHT(YEAR(bonds[[#This Row],[nxt_call_dt]]),2)</f>
        <v>BPLN 3 5/8 PERP nc-29</v>
      </c>
      <c r="Q38" s="5" t="str">
        <v>ENELIM</v>
      </c>
      <c r="S38" s="5" t="str">
        <v>SSELN</v>
      </c>
      <c r="T38" s="5">
        <v>6</v>
      </c>
      <c r="Z38" s="1" t="s">
        <v>79</v>
      </c>
      <c r="AA38" s="5" t="s">
        <v>176</v>
      </c>
    </row>
    <row r="39" spans="5:27" x14ac:dyDescent="0.25">
      <c r="E39" s="5" t="s">
        <v>258</v>
      </c>
      <c r="F39" s="5" t="str" cm="1">
        <f t="array" ref="F39">_xll.BDP(bonds[[#This Row],[worksheet get]],bonds[[#Headers],[ID_ISIN]])</f>
        <v>XS2193663619</v>
      </c>
      <c r="G39" s="5" t="str" cm="1">
        <f t="array" ref="G39">_xll.BDP(bonds[[#This Row],[worksheet get]],bonds[[#Headers],[security name]])</f>
        <v>BPLN 4 1/4 PERP</v>
      </c>
      <c r="H39" s="5" t="str" cm="1">
        <f t="array" ref="H39">_xll.BDP(bonds[[#This Row],[worksheet get]],bonds[[#Headers],[ticker]])</f>
        <v>BPLN</v>
      </c>
      <c r="I39" s="5" cm="1">
        <f t="array" ref="I39">_xll.BDP(bonds[[#This Row],[worksheet get]],bonds[[#Headers],[coupon]])</f>
        <v>4.25</v>
      </c>
      <c r="J39" s="8" cm="1">
        <f t="array" ref="J39">_xll.BDP(bonds[[#This Row],[worksheet get]],bonds[[#Headers],[nxt_call_dt]])*1</f>
        <v>46468</v>
      </c>
      <c r="K39" s="9" t="str" cm="1">
        <f t="array" ref="K39">_xll.BDP(bonds[[#This Row],[worksheet get]],bonds[[#Headers],[mty_typ]])</f>
        <v>PERP/CALL</v>
      </c>
      <c r="L39" s="9" t="str" cm="1">
        <f t="array" ref="L39">_xll.BDP(bonds[[#This Row],[worksheet get]],bonds[[#Headers],[crncy]])</f>
        <v>GBP</v>
      </c>
      <c r="M39" s="10" cm="1">
        <f t="array" ref="M39">_xll.BDP(bonds[[#This Row],[worksheet get]],bonds[[#Headers],[amt_outstanding]])</f>
        <v>1250000000</v>
      </c>
      <c r="N39" s="9" t="str" cm="1">
        <f t="array" ref="N39">_xll.BDP(bonds[[#This Row],[worksheet get]],bonds[[#Headers],[industry_sector]])</f>
        <v>Energy</v>
      </c>
      <c r="O39" s="9" t="str">
        <f>bonds[[#This Row],[security name]]&amp;" nc-"&amp;RIGHT(YEAR(bonds[[#This Row],[nxt_call_dt]]),2)</f>
        <v>BPLN 4 1/4 PERP nc-27</v>
      </c>
      <c r="Q39" s="5" t="str">
        <v>IBESM</v>
      </c>
      <c r="S39" s="5" t="str">
        <v>TELEFO</v>
      </c>
      <c r="T39" s="5">
        <v>8</v>
      </c>
      <c r="Z39" s="1" t="s">
        <v>259</v>
      </c>
      <c r="AA39" s="5" t="s">
        <v>176</v>
      </c>
    </row>
    <row r="40" spans="5:27" x14ac:dyDescent="0.25">
      <c r="E40" s="5" t="s">
        <v>260</v>
      </c>
      <c r="F40" s="5" t="str" cm="1">
        <f t="array" ref="F40">_xll.BDP(bonds[[#This Row],[worksheet get]],bonds[[#Headers],[ID_ISIN]])</f>
        <v>US05565QDU94</v>
      </c>
      <c r="G40" s="5" t="str" cm="1">
        <f t="array" ref="G40">_xll.BDP(bonds[[#This Row],[worksheet get]],bonds[[#Headers],[security name]])</f>
        <v>BPLN 4 3/8 PERP</v>
      </c>
      <c r="H40" s="5" t="str" cm="1">
        <f t="array" ref="H40">_xll.BDP(bonds[[#This Row],[worksheet get]],bonds[[#Headers],[ticker]])</f>
        <v>BPLN</v>
      </c>
      <c r="I40" s="5" cm="1">
        <f t="array" ref="I40">_xll.BDP(bonds[[#This Row],[worksheet get]],bonds[[#Headers],[coupon]])</f>
        <v>4.375</v>
      </c>
      <c r="J40" s="8" cm="1">
        <f t="array" ref="J40">_xll.BDP(bonds[[#This Row],[worksheet get]],bonds[[#Headers],[nxt_call_dt]])*1</f>
        <v>45830</v>
      </c>
      <c r="K40" s="9" t="str" cm="1">
        <f t="array" ref="K40">_xll.BDP(bonds[[#This Row],[worksheet get]],bonds[[#Headers],[mty_typ]])</f>
        <v>PERP/CALL</v>
      </c>
      <c r="L40" s="9" t="str" cm="1">
        <f t="array" ref="L40">_xll.BDP(bonds[[#This Row],[worksheet get]],bonds[[#Headers],[crncy]])</f>
        <v>USD</v>
      </c>
      <c r="M40" s="10" cm="1">
        <f t="array" ref="M40">_xll.BDP(bonds[[#This Row],[worksheet get]],bonds[[#Headers],[amt_outstanding]])</f>
        <v>2500000000</v>
      </c>
      <c r="N40" s="9" t="str" cm="1">
        <f t="array" ref="N40">_xll.BDP(bonds[[#This Row],[worksheet get]],bonds[[#Headers],[industry_sector]])</f>
        <v>Energy</v>
      </c>
      <c r="O40" s="9" t="str">
        <f>bonds[[#This Row],[security name]]&amp;" nc-"&amp;RIGHT(YEAR(bonds[[#This Row],[nxt_call_dt]]),2)</f>
        <v>BPLN 4 3/8 PERP nc-25</v>
      </c>
      <c r="Q40" s="5" t="str">
        <v>NTGYSM</v>
      </c>
      <c r="S40" s="5" t="str">
        <v>TELIAS</v>
      </c>
      <c r="T40" s="5">
        <v>2</v>
      </c>
      <c r="Z40" s="1" t="s">
        <v>261</v>
      </c>
      <c r="AA40" s="5" t="s">
        <v>176</v>
      </c>
    </row>
    <row r="41" spans="5:27" x14ac:dyDescent="0.25">
      <c r="E41" s="5" t="s">
        <v>262</v>
      </c>
      <c r="F41" s="5" t="str" cm="1">
        <f t="array" ref="F41">_xll.BDP(bonds[[#This Row],[worksheet get]],bonds[[#Headers],[ID_ISIN]])</f>
        <v>US05565QDV77</v>
      </c>
      <c r="G41" s="5" t="str" cm="1">
        <f t="array" ref="G41">_xll.BDP(bonds[[#This Row],[worksheet get]],bonds[[#Headers],[security name]])</f>
        <v>BPLN 4 7/8 PERP</v>
      </c>
      <c r="H41" s="5" t="str" cm="1">
        <f t="array" ref="H41">_xll.BDP(bonds[[#This Row],[worksheet get]],bonds[[#Headers],[ticker]])</f>
        <v>BPLN</v>
      </c>
      <c r="I41" s="5" cm="1">
        <f t="array" ref="I41">_xll.BDP(bonds[[#This Row],[worksheet get]],bonds[[#Headers],[coupon]])</f>
        <v>4.875</v>
      </c>
      <c r="J41" s="8" cm="1">
        <f t="array" ref="J41">_xll.BDP(bonds[[#This Row],[worksheet get]],bonds[[#Headers],[nxt_call_dt]])*1</f>
        <v>47564</v>
      </c>
      <c r="K41" s="9" t="str" cm="1">
        <f t="array" ref="K41">_xll.BDP(bonds[[#This Row],[worksheet get]],bonds[[#Headers],[mty_typ]])</f>
        <v>PERP/CALL</v>
      </c>
      <c r="L41" s="9" t="str" cm="1">
        <f t="array" ref="L41">_xll.BDP(bonds[[#This Row],[worksheet get]],bonds[[#Headers],[crncy]])</f>
        <v>USD</v>
      </c>
      <c r="M41" s="10" cm="1">
        <f t="array" ref="M41">_xll.BDP(bonds[[#This Row],[worksheet get]],bonds[[#Headers],[amt_outstanding]])</f>
        <v>2500000000</v>
      </c>
      <c r="N41" s="9" t="str" cm="1">
        <f t="array" ref="N41">_xll.BDP(bonds[[#This Row],[worksheet get]],bonds[[#Headers],[industry_sector]])</f>
        <v>Energy</v>
      </c>
      <c r="O41" s="9" t="str">
        <f>bonds[[#This Row],[security name]]&amp;" nc-"&amp;RIGHT(YEAR(bonds[[#This Row],[nxt_call_dt]]),2)</f>
        <v>BPLN 4 7/8 PERP nc-30</v>
      </c>
      <c r="Q41" s="5" t="str">
        <v>CNALN</v>
      </c>
      <c r="S41" s="5" t="str">
        <v>TOTAL</v>
      </c>
      <c r="T41" s="5">
        <v>6</v>
      </c>
      <c r="Z41" s="1" t="s">
        <v>88</v>
      </c>
      <c r="AA41" s="5" t="s">
        <v>176</v>
      </c>
    </row>
    <row r="42" spans="5:27" x14ac:dyDescent="0.25">
      <c r="E42" s="5" t="s">
        <v>263</v>
      </c>
      <c r="F42" s="5" t="str" cm="1">
        <f t="array" ref="F42">_xll.BDP(bonds[[#This Row],[worksheet get]],bonds[[#Headers],[ID_ISIN]])</f>
        <v>XS1195201931</v>
      </c>
      <c r="G42" s="5" t="str" cm="1">
        <f t="array" ref="G42">_xll.BDP(bonds[[#This Row],[worksheet get]],bonds[[#Headers],[security name]])</f>
        <v>TOTAL 2 1/4 PERP</v>
      </c>
      <c r="H42" s="5" t="str" cm="1">
        <f t="array" ref="H42">_xll.BDP(bonds[[#This Row],[worksheet get]],bonds[[#Headers],[ticker]])</f>
        <v>TOTAL</v>
      </c>
      <c r="I42" s="5" cm="1">
        <f t="array" ref="I42">_xll.BDP(bonds[[#This Row],[worksheet get]],bonds[[#Headers],[coupon]])</f>
        <v>2.25</v>
      </c>
      <c r="J42" s="8" cm="1">
        <f t="array" ref="J42">_xll.BDP(bonds[[#This Row],[worksheet get]],bonds[[#Headers],[nxt_call_dt]])*1</f>
        <v>44253</v>
      </c>
      <c r="K42" s="9" t="str" cm="1">
        <f t="array" ref="K42">_xll.BDP(bonds[[#This Row],[worksheet get]],bonds[[#Headers],[mty_typ]])</f>
        <v>PERP/CALL</v>
      </c>
      <c r="L42" s="9" t="str" cm="1">
        <f t="array" ref="L42">_xll.BDP(bonds[[#This Row],[worksheet get]],bonds[[#Headers],[crncy]])</f>
        <v>EUR</v>
      </c>
      <c r="M42" s="10" cm="1">
        <f t="array" ref="M42">_xll.BDP(bonds[[#This Row],[worksheet get]],bonds[[#Headers],[amt_outstanding]])</f>
        <v>1000000000</v>
      </c>
      <c r="N42" s="9" t="str" cm="1">
        <f t="array" ref="N42">_xll.BDP(bonds[[#This Row],[worksheet get]],bonds[[#Headers],[industry_sector]])</f>
        <v>Energy</v>
      </c>
      <c r="O42" s="9" t="str">
        <f>bonds[[#This Row],[security name]]&amp;" nc-"&amp;RIGHT(YEAR(bonds[[#This Row],[nxt_call_dt]]),2)</f>
        <v>TOTAL 2 1/4 PERP nc-21</v>
      </c>
      <c r="Q42" s="5" t="str">
        <v>NGGLN</v>
      </c>
      <c r="S42" s="5" t="str">
        <v>TRAFIG</v>
      </c>
      <c r="T42" s="5">
        <v>2</v>
      </c>
      <c r="Z42" s="1" t="s">
        <v>264</v>
      </c>
      <c r="AA42" s="5" t="s">
        <v>176</v>
      </c>
    </row>
    <row r="43" spans="5:27" x14ac:dyDescent="0.25">
      <c r="E43" s="5" t="s">
        <v>265</v>
      </c>
      <c r="F43" s="5" t="str" cm="1">
        <f t="array" ref="F43">_xll.BDP(bonds[[#This Row],[worksheet get]],bonds[[#Headers],[ID_ISIN]])</f>
        <v>XS1413581205</v>
      </c>
      <c r="G43" s="5" t="str" cm="1">
        <f t="array" ref="G43">_xll.BDP(bonds[[#This Row],[worksheet get]],bonds[[#Headers],[security name]])</f>
        <v>TOTAL 3 7/8 PERP</v>
      </c>
      <c r="H43" s="5" t="str" cm="1">
        <f t="array" ref="H43">_xll.BDP(bonds[[#This Row],[worksheet get]],bonds[[#Headers],[ticker]])</f>
        <v>TOTAL</v>
      </c>
      <c r="I43" s="5" cm="1">
        <f t="array" ref="I43">_xll.BDP(bonds[[#This Row],[worksheet get]],bonds[[#Headers],[coupon]])</f>
        <v>3.875</v>
      </c>
      <c r="J43" s="8" cm="1">
        <f t="array" ref="J43">_xll.BDP(bonds[[#This Row],[worksheet get]],bonds[[#Headers],[nxt_call_dt]])*1</f>
        <v>44699</v>
      </c>
      <c r="K43" s="9" t="str" cm="1">
        <f t="array" ref="K43">_xll.BDP(bonds[[#This Row],[worksheet get]],bonds[[#Headers],[mty_typ]])</f>
        <v>PERP/CALL</v>
      </c>
      <c r="L43" s="9" t="str" cm="1">
        <f t="array" ref="L43">_xll.BDP(bonds[[#This Row],[worksheet get]],bonds[[#Headers],[crncy]])</f>
        <v>EUR</v>
      </c>
      <c r="M43" s="10" cm="1">
        <f t="array" ref="M43">_xll.BDP(bonds[[#This Row],[worksheet get]],bonds[[#Headers],[amt_outstanding]])</f>
        <v>1750000000</v>
      </c>
      <c r="N43" s="9" t="str" cm="1">
        <f t="array" ref="N43">_xll.BDP(bonds[[#This Row],[worksheet get]],bonds[[#Headers],[industry_sector]])</f>
        <v>Energy</v>
      </c>
      <c r="O43" s="9" t="str">
        <f>bonds[[#This Row],[security name]]&amp;" nc-"&amp;RIGHT(YEAR(bonds[[#This Row],[nxt_call_dt]]),2)</f>
        <v>TOTAL 3 7/8 PERP nc-22</v>
      </c>
      <c r="Q43" s="5" t="str">
        <v>SSELN</v>
      </c>
      <c r="S43" s="5" t="str">
        <v>ULFP</v>
      </c>
      <c r="T43" s="5">
        <v>2</v>
      </c>
      <c r="Z43" s="1" t="s">
        <v>49</v>
      </c>
      <c r="AA43" s="5" t="s">
        <v>176</v>
      </c>
    </row>
    <row r="44" spans="5:27" x14ac:dyDescent="0.25">
      <c r="E44" s="5" t="s">
        <v>266</v>
      </c>
      <c r="F44" s="5" t="str" cm="1">
        <f t="array" ref="F44">_xll.BDP(bonds[[#This Row],[worksheet get]],bonds[[#Headers],[ID_ISIN]])</f>
        <v>XS1501167164</v>
      </c>
      <c r="G44" s="5" t="str" cm="1">
        <f t="array" ref="G44">_xll.BDP(bonds[[#This Row],[worksheet get]],bonds[[#Headers],[security name]])</f>
        <v>TOTAL 2.708 PERP</v>
      </c>
      <c r="H44" s="5" t="str" cm="1">
        <f t="array" ref="H44">_xll.BDP(bonds[[#This Row],[worksheet get]],bonds[[#Headers],[ticker]])</f>
        <v>TOTAL</v>
      </c>
      <c r="I44" s="5" cm="1">
        <f t="array" ref="I44">_xll.BDP(bonds[[#This Row],[worksheet get]],bonds[[#Headers],[coupon]])</f>
        <v>2.7080000000000002</v>
      </c>
      <c r="J44" s="8" cm="1">
        <f t="array" ref="J44">_xll.BDP(bonds[[#This Row],[worksheet get]],bonds[[#Headers],[nxt_call_dt]])*1</f>
        <v>45051</v>
      </c>
      <c r="K44" s="9" t="str" cm="1">
        <f t="array" ref="K44">_xll.BDP(bonds[[#This Row],[worksheet get]],bonds[[#Headers],[mty_typ]])</f>
        <v>PERP/CALL</v>
      </c>
      <c r="L44" s="9" t="str" cm="1">
        <f t="array" ref="L44">_xll.BDP(bonds[[#This Row],[worksheet get]],bonds[[#Headers],[crncy]])</f>
        <v>EUR</v>
      </c>
      <c r="M44" s="10" cm="1">
        <f t="array" ref="M44">_xll.BDP(bonds[[#This Row],[worksheet get]],bonds[[#Headers],[amt_outstanding]])</f>
        <v>1000000000</v>
      </c>
      <c r="N44" s="9" t="str" cm="1">
        <f t="array" ref="N44">_xll.BDP(bonds[[#This Row],[worksheet get]],bonds[[#Headers],[industry_sector]])</f>
        <v>Energy</v>
      </c>
      <c r="O44" s="9" t="str">
        <f>bonds[[#This Row],[security name]]&amp;" nc-"&amp;RIGHT(YEAR(bonds[[#This Row],[nxt_call_dt]]),2)</f>
        <v>TOTAL 2.708 PERP nc-23</v>
      </c>
      <c r="Q44" s="5" t="str">
        <v>ALLRNV</v>
      </c>
      <c r="S44" s="5" t="str">
        <v>VATFAL</v>
      </c>
      <c r="T44" s="5">
        <v>2</v>
      </c>
      <c r="Z44" s="1" t="s">
        <v>267</v>
      </c>
      <c r="AA44" s="5" t="s">
        <v>176</v>
      </c>
    </row>
    <row r="45" spans="5:27" x14ac:dyDescent="0.25">
      <c r="E45" s="5" t="s">
        <v>268</v>
      </c>
      <c r="F45" s="5" t="str" cm="1">
        <f t="array" ref="F45">_xll.BDP(bonds[[#This Row],[worksheet get]],bonds[[#Headers],[ID_ISIN]])</f>
        <v>XS1974787480</v>
      </c>
      <c r="G45" s="5" t="str" cm="1">
        <f t="array" ref="G45">_xll.BDP(bonds[[#This Row],[worksheet get]],bonds[[#Headers],[security name]])</f>
        <v>TOTAL 1 3/4 PERP</v>
      </c>
      <c r="H45" s="5" t="str" cm="1">
        <f t="array" ref="H45">_xll.BDP(bonds[[#This Row],[worksheet get]],bonds[[#Headers],[ticker]])</f>
        <v>TOTAL</v>
      </c>
      <c r="I45" s="5" cm="1">
        <f t="array" ref="I45">_xll.BDP(bonds[[#This Row],[worksheet get]],bonds[[#Headers],[coupon]])</f>
        <v>1.75</v>
      </c>
      <c r="J45" s="8" cm="1">
        <f t="array" ref="J45">_xll.BDP(bonds[[#This Row],[worksheet get]],bonds[[#Headers],[nxt_call_dt]])*1</f>
        <v>45386</v>
      </c>
      <c r="K45" s="9" t="str" cm="1">
        <f t="array" ref="K45">_xll.BDP(bonds[[#This Row],[worksheet get]],bonds[[#Headers],[mty_typ]])</f>
        <v>PERP/CALL</v>
      </c>
      <c r="L45" s="9" t="str" cm="1">
        <f t="array" ref="L45">_xll.BDP(bonds[[#This Row],[worksheet get]],bonds[[#Headers],[crncy]])</f>
        <v>EUR</v>
      </c>
      <c r="M45" s="10" cm="1">
        <f t="array" ref="M45">_xll.BDP(bonds[[#This Row],[worksheet get]],bonds[[#Headers],[amt_outstanding]])</f>
        <v>1500000000</v>
      </c>
      <c r="N45" s="9" t="str" cm="1">
        <f t="array" ref="N45">_xll.BDP(bonds[[#This Row],[worksheet get]],bonds[[#Headers],[industry_sector]])</f>
        <v>Energy</v>
      </c>
      <c r="O45" s="9" t="str">
        <f>bonds[[#This Row],[security name]]&amp;" nc-"&amp;RIGHT(YEAR(bonds[[#This Row],[nxt_call_dt]]),2)</f>
        <v>TOTAL 1 3/4 PERP nc-24</v>
      </c>
      <c r="Q45" s="5" t="str">
        <v>ORSTED</v>
      </c>
      <c r="S45" s="5" t="str">
        <v>VOD</v>
      </c>
      <c r="T45" s="5">
        <v>5</v>
      </c>
      <c r="Z45" s="1" t="s">
        <v>269</v>
      </c>
      <c r="AA45" s="5" t="s">
        <v>173</v>
      </c>
    </row>
    <row r="46" spans="5:27" x14ac:dyDescent="0.25">
      <c r="E46" s="5" t="s">
        <v>270</v>
      </c>
      <c r="F46" s="5" t="str" cm="1">
        <f t="array" ref="F46">_xll.BDP(bonds[[#This Row],[worksheet get]],bonds[[#Headers],[ID_ISIN]])</f>
        <v>XS1195202822</v>
      </c>
      <c r="G46" s="5" t="str" cm="1">
        <f t="array" ref="G46">_xll.BDP(bonds[[#This Row],[worksheet get]],bonds[[#Headers],[security name]])</f>
        <v>TOTAL 2 5/8 PERP</v>
      </c>
      <c r="H46" s="5" t="str" cm="1">
        <f t="array" ref="H46">_xll.BDP(bonds[[#This Row],[worksheet get]],bonds[[#Headers],[ticker]])</f>
        <v>TOTAL</v>
      </c>
      <c r="I46" s="5" cm="1">
        <f t="array" ref="I46">_xll.BDP(bonds[[#This Row],[worksheet get]],bonds[[#Headers],[coupon]])</f>
        <v>2.625</v>
      </c>
      <c r="J46" s="8" cm="1">
        <f t="array" ref="J46">_xll.BDP(bonds[[#This Row],[worksheet get]],bonds[[#Headers],[nxt_call_dt]])*1</f>
        <v>45714</v>
      </c>
      <c r="K46" s="9" t="str" cm="1">
        <f t="array" ref="K46">_xll.BDP(bonds[[#This Row],[worksheet get]],bonds[[#Headers],[mty_typ]])</f>
        <v>PERP/CALL</v>
      </c>
      <c r="L46" s="9" t="str" cm="1">
        <f t="array" ref="L46">_xll.BDP(bonds[[#This Row],[worksheet get]],bonds[[#Headers],[crncy]])</f>
        <v>EUR</v>
      </c>
      <c r="M46" s="10" cm="1">
        <f t="array" ref="M46">_xll.BDP(bonds[[#This Row],[worksheet get]],bonds[[#Headers],[amt_outstanding]])</f>
        <v>2500000000</v>
      </c>
      <c r="N46" s="9" t="str" cm="1">
        <f t="array" ref="N46">_xll.BDP(bonds[[#This Row],[worksheet get]],bonds[[#Headers],[industry_sector]])</f>
        <v>Energy</v>
      </c>
      <c r="O46" s="9" t="str">
        <f>bonds[[#This Row],[security name]]&amp;" nc-"&amp;RIGHT(YEAR(bonds[[#This Row],[nxt_call_dt]]),2)</f>
        <v>TOTAL 2 5/8 PERP nc-25</v>
      </c>
      <c r="Q46" s="5" t="str">
        <v>STEDIN</v>
      </c>
      <c r="S46" s="5" t="str">
        <v>VW</v>
      </c>
      <c r="T46" s="5">
        <v>11</v>
      </c>
      <c r="Z46" s="1" t="s">
        <v>112</v>
      </c>
      <c r="AA46" s="5" t="s">
        <v>173</v>
      </c>
    </row>
    <row r="47" spans="5:27" x14ac:dyDescent="0.25">
      <c r="E47" s="5" t="s">
        <v>271</v>
      </c>
      <c r="F47" s="5" t="str" cm="1">
        <f t="array" ref="F47">_xll.BDP(bonds[[#This Row],[worksheet get]],bonds[[#Headers],[ID_ISIN]])</f>
        <v>XS1501166869</v>
      </c>
      <c r="G47" s="5" t="str" cm="1">
        <f t="array" ref="G47">_xll.BDP(bonds[[#This Row],[worksheet get]],bonds[[#Headers],[security name]])</f>
        <v>TOTAL 3.369 PERP</v>
      </c>
      <c r="H47" s="5" t="str" cm="1">
        <f t="array" ref="H47">_xll.BDP(bonds[[#This Row],[worksheet get]],bonds[[#Headers],[ticker]])</f>
        <v>TOTAL</v>
      </c>
      <c r="I47" s="5" cm="1">
        <f t="array" ref="I47">_xll.BDP(bonds[[#This Row],[worksheet get]],bonds[[#Headers],[coupon]])</f>
        <v>3.3690000000000002</v>
      </c>
      <c r="J47" s="8" cm="1">
        <f t="array" ref="J47">_xll.BDP(bonds[[#This Row],[worksheet get]],bonds[[#Headers],[nxt_call_dt]])*1</f>
        <v>46301</v>
      </c>
      <c r="K47" s="9" t="str" cm="1">
        <f t="array" ref="K47">_xll.BDP(bonds[[#This Row],[worksheet get]],bonds[[#Headers],[mty_typ]])</f>
        <v>PERP/CALL</v>
      </c>
      <c r="L47" s="9" t="str" cm="1">
        <f t="array" ref="L47">_xll.BDP(bonds[[#This Row],[worksheet get]],bonds[[#Headers],[crncy]])</f>
        <v>EUR</v>
      </c>
      <c r="M47" s="10" cm="1">
        <f t="array" ref="M47">_xll.BDP(bonds[[#This Row],[worksheet get]],bonds[[#Headers],[amt_outstanding]])</f>
        <v>1500000000</v>
      </c>
      <c r="N47" s="9" t="str" cm="1">
        <f t="array" ref="N47">_xll.BDP(bonds[[#This Row],[worksheet get]],bonds[[#Headers],[industry_sector]])</f>
        <v>Energy</v>
      </c>
      <c r="O47" s="9" t="str">
        <f>bonds[[#This Row],[security name]]&amp;" nc-"&amp;RIGHT(YEAR(bonds[[#This Row],[nxt_call_dt]]),2)</f>
        <v>TOTAL 3.369 PERP nc-26</v>
      </c>
      <c r="Q47" s="5" t="str">
        <v>EDPPL</v>
      </c>
      <c r="Z47" s="1" t="s">
        <v>43</v>
      </c>
      <c r="AA47" s="5" t="s">
        <v>174</v>
      </c>
    </row>
    <row r="48" spans="5:27" x14ac:dyDescent="0.25">
      <c r="E48" s="5" t="s">
        <v>272</v>
      </c>
      <c r="F48" s="5" t="str" cm="1">
        <f t="array" ref="F48">_xll.BDP(bonds[[#This Row],[worksheet get]],bonds[[#Headers],[ID_ISIN]])</f>
        <v>XS1309436753</v>
      </c>
      <c r="G48" s="5" t="str" cm="1">
        <f t="array" ref="G48">_xll.BDP(bonds[[#This Row],[worksheet get]],bonds[[#Headers],[security name]])</f>
        <v>BHP 4 3/4 04/22/76</v>
      </c>
      <c r="H48" s="5" t="str" cm="1">
        <f t="array" ref="H48">_xll.BDP(bonds[[#This Row],[worksheet get]],bonds[[#Headers],[ticker]])</f>
        <v>BHP</v>
      </c>
      <c r="I48" s="5" cm="1">
        <f t="array" ref="I48">_xll.BDP(bonds[[#This Row],[worksheet get]],bonds[[#Headers],[coupon]])</f>
        <v>4.75</v>
      </c>
      <c r="J48" s="8" cm="1">
        <f t="array" ref="J48">_xll.BDP(bonds[[#This Row],[worksheet get]],bonds[[#Headers],[nxt_call_dt]])*1</f>
        <v>44308</v>
      </c>
      <c r="K48" s="9" t="str" cm="1">
        <f t="array" ref="K48">_xll.BDP(bonds[[#This Row],[worksheet get]],bonds[[#Headers],[mty_typ]])</f>
        <v>CALLABLE</v>
      </c>
      <c r="L48" s="9" t="str" cm="1">
        <f t="array" ref="L48">_xll.BDP(bonds[[#This Row],[worksheet get]],bonds[[#Headers],[crncy]])</f>
        <v>EUR</v>
      </c>
      <c r="M48" s="10" cm="1">
        <f t="array" ref="M48">_xll.BDP(bonds[[#This Row],[worksheet get]],bonds[[#Headers],[amt_outstanding]])</f>
        <v>1250000000</v>
      </c>
      <c r="N48" s="9" t="str" cm="1">
        <f t="array" ref="N48">_xll.BDP(bonds[[#This Row],[worksheet get]],bonds[[#Headers],[industry_sector]])</f>
        <v>Basic Materials</v>
      </c>
      <c r="O48" s="9" t="str">
        <f>bonds[[#This Row],[security name]]&amp;" nc-"&amp;RIGHT(YEAR(bonds[[#This Row],[nxt_call_dt]]),2)</f>
        <v>BHP 4 3/4 04/22/76 nc-21</v>
      </c>
      <c r="Q48" s="5" t="str">
        <v>ELIASO</v>
      </c>
      <c r="Z48" s="1" t="s">
        <v>273</v>
      </c>
      <c r="AA48" s="5" t="s">
        <v>211</v>
      </c>
    </row>
    <row r="49" spans="5:27" x14ac:dyDescent="0.25">
      <c r="E49" s="5" t="s">
        <v>274</v>
      </c>
      <c r="F49" s="5" t="str" cm="1">
        <f t="array" ref="F49">_xll.BDP(bonds[[#This Row],[worksheet get]],bonds[[#Headers],[ID_ISIN]])</f>
        <v>XS1309436910</v>
      </c>
      <c r="G49" s="5" t="str" cm="1">
        <f t="array" ref="G49">_xll.BDP(bonds[[#This Row],[worksheet get]],bonds[[#Headers],[security name]])</f>
        <v>BHP 5 5/8 10/22/79</v>
      </c>
      <c r="H49" s="5" t="str" cm="1">
        <f t="array" ref="H49">_xll.BDP(bonds[[#This Row],[worksheet get]],bonds[[#Headers],[ticker]])</f>
        <v>BHP</v>
      </c>
      <c r="I49" s="5" cm="1">
        <f t="array" ref="I49">_xll.BDP(bonds[[#This Row],[worksheet get]],bonds[[#Headers],[coupon]])</f>
        <v>5.625</v>
      </c>
      <c r="J49" s="8" cm="1">
        <f t="array" ref="J49">_xll.BDP(bonds[[#This Row],[worksheet get]],bonds[[#Headers],[nxt_call_dt]])*1</f>
        <v>45587</v>
      </c>
      <c r="K49" s="9" t="str" cm="1">
        <f t="array" ref="K49">_xll.BDP(bonds[[#This Row],[worksheet get]],bonds[[#Headers],[mty_typ]])</f>
        <v>CALLABLE</v>
      </c>
      <c r="L49" s="9" t="str" cm="1">
        <f t="array" ref="L49">_xll.BDP(bonds[[#This Row],[worksheet get]],bonds[[#Headers],[crncy]])</f>
        <v>EUR</v>
      </c>
      <c r="M49" s="10" cm="1">
        <f t="array" ref="M49">_xll.BDP(bonds[[#This Row],[worksheet get]],bonds[[#Headers],[amt_outstanding]])</f>
        <v>750000000</v>
      </c>
      <c r="N49" s="9" t="str" cm="1">
        <f t="array" ref="N49">_xll.BDP(bonds[[#This Row],[worksheet get]],bonds[[#Headers],[industry_sector]])</f>
        <v>Basic Materials</v>
      </c>
      <c r="O49" s="9" t="str">
        <f>bonds[[#This Row],[security name]]&amp;" nc-"&amp;RIGHT(YEAR(bonds[[#This Row],[nxt_call_dt]]),2)</f>
        <v>BHP 5 5/8 10/22/79 nc-24</v>
      </c>
      <c r="Q49" s="5" t="str">
        <v>VLVY</v>
      </c>
      <c r="Z49" s="1" t="s">
        <v>275</v>
      </c>
      <c r="AA49" s="5" t="s">
        <v>229</v>
      </c>
    </row>
    <row r="50" spans="5:27" x14ac:dyDescent="0.25">
      <c r="E50" s="5" t="s">
        <v>276</v>
      </c>
      <c r="F50" s="5" t="str" cm="1">
        <f t="array" ref="F50">_xll.BDP(bonds[[#This Row],[worksheet get]],bonds[[#Headers],[ID_ISIN]])</f>
        <v>USQ12441AB91</v>
      </c>
      <c r="G50" s="5" t="str" cm="1">
        <f t="array" ref="G50">_xll.BDP(bonds[[#This Row],[worksheet get]],bonds[[#Headers],[security name]])</f>
        <v>BHP 6 3/4 10/19/75</v>
      </c>
      <c r="H50" s="5" t="str" cm="1">
        <f t="array" ref="H50">_xll.BDP(bonds[[#This Row],[worksheet get]],bonds[[#Headers],[ticker]])</f>
        <v>BHP</v>
      </c>
      <c r="I50" s="5" cm="1">
        <f t="array" ref="I50">_xll.BDP(bonds[[#This Row],[worksheet get]],bonds[[#Headers],[coupon]])</f>
        <v>6.75</v>
      </c>
      <c r="J50" s="8" cm="1">
        <f t="array" ref="J50">_xll.BDP(bonds[[#This Row],[worksheet get]],bonds[[#Headers],[nxt_call_dt]])*1</f>
        <v>45950</v>
      </c>
      <c r="K50" s="9" t="str" cm="1">
        <f t="array" ref="K50">_xll.BDP(bonds[[#This Row],[worksheet get]],bonds[[#Headers],[mty_typ]])</f>
        <v>CALLABLE</v>
      </c>
      <c r="L50" s="9" t="str" cm="1">
        <f t="array" ref="L50">_xll.BDP(bonds[[#This Row],[worksheet get]],bonds[[#Headers],[crncy]])</f>
        <v>USD</v>
      </c>
      <c r="M50" s="10" cm="1">
        <f t="array" ref="M50">_xll.BDP(bonds[[#This Row],[worksheet get]],bonds[[#Headers],[amt_outstanding]])</f>
        <v>2250000000</v>
      </c>
      <c r="N50" s="9" t="str" cm="1">
        <f t="array" ref="N50">_xll.BDP(bonds[[#This Row],[worksheet get]],bonds[[#Headers],[industry_sector]])</f>
        <v>Basic Materials</v>
      </c>
      <c r="O50" s="9" t="str">
        <f>bonds[[#This Row],[security name]]&amp;" nc-"&amp;RIGHT(YEAR(bonds[[#This Row],[nxt_call_dt]]),2)</f>
        <v>BHP 6 3/4 10/19/75 nc-25</v>
      </c>
      <c r="Q50" s="5" t="str">
        <v>VW</v>
      </c>
      <c r="Z50" s="1" t="s">
        <v>277</v>
      </c>
      <c r="AA50" s="5" t="s">
        <v>211</v>
      </c>
    </row>
    <row r="51" spans="5:27" x14ac:dyDescent="0.25">
      <c r="E51" s="5" t="s">
        <v>278</v>
      </c>
      <c r="F51" s="5" t="str" cm="1">
        <f t="array" ref="F51">_xll.BDP(bonds[[#This Row],[worksheet get]],bonds[[#Headers],[ID_ISIN]])</f>
        <v>USQ12441AA19</v>
      </c>
      <c r="G51" s="5" t="str" cm="1">
        <f t="array" ref="G51">_xll.BDP(bonds[[#This Row],[worksheet get]],bonds[[#Headers],[security name]])</f>
        <v>BHP 6 1/4 10/19/75</v>
      </c>
      <c r="H51" s="5" t="str" cm="1">
        <f t="array" ref="H51">_xll.BDP(bonds[[#This Row],[worksheet get]],bonds[[#Headers],[ticker]])</f>
        <v>BHP</v>
      </c>
      <c r="I51" s="5" cm="1">
        <f t="array" ref="I51">_xll.BDP(bonds[[#This Row],[worksheet get]],bonds[[#Headers],[coupon]])</f>
        <v>6.25</v>
      </c>
      <c r="J51" s="8" cm="1">
        <f t="array" ref="J51">_xll.BDP(bonds[[#This Row],[worksheet get]],bonds[[#Headers],[nxt_call_dt]])*1</f>
        <v>44123</v>
      </c>
      <c r="K51" s="9" t="str" cm="1">
        <f t="array" ref="K51">_xll.BDP(bonds[[#This Row],[worksheet get]],bonds[[#Headers],[mty_typ]])</f>
        <v>CALLABLE</v>
      </c>
      <c r="L51" s="9" t="str" cm="1">
        <f t="array" ref="L51">_xll.BDP(bonds[[#This Row],[worksheet get]],bonds[[#Headers],[crncy]])</f>
        <v>USD</v>
      </c>
      <c r="M51" s="10" cm="1">
        <f t="array" ref="M51">_xll.BDP(bonds[[#This Row],[worksheet get]],bonds[[#Headers],[amt_outstanding]])</f>
        <v>1000000000</v>
      </c>
      <c r="N51" s="9" t="str" cm="1">
        <f t="array" ref="N51">_xll.BDP(bonds[[#This Row],[worksheet get]],bonds[[#Headers],[industry_sector]])</f>
        <v>Basic Materials</v>
      </c>
      <c r="O51" s="9" t="str">
        <f>bonds[[#This Row],[security name]]&amp;" nc-"&amp;RIGHT(YEAR(bonds[[#This Row],[nxt_call_dt]]),2)</f>
        <v>BHP 6 1/4 10/19/75 nc-20</v>
      </c>
      <c r="Q51" s="5" t="str">
        <v>ACFP</v>
      </c>
      <c r="Z51" s="1" t="s">
        <v>279</v>
      </c>
      <c r="AA51" s="5" t="s">
        <v>174</v>
      </c>
    </row>
    <row r="52" spans="5:27" x14ac:dyDescent="0.25">
      <c r="E52" s="5" t="s">
        <v>280</v>
      </c>
      <c r="F52" s="5" t="str" cm="1">
        <f t="array" ref="F52">_xll.BDP(bonds[[#This Row],[worksheet get]],bonds[[#Headers],[ID_ISIN]])</f>
        <v>XS1309437215</v>
      </c>
      <c r="G52" s="5" t="str" cm="1">
        <f t="array" ref="G52">_xll.BDP(bonds[[#This Row],[worksheet get]],bonds[[#Headers],[security name]])</f>
        <v>BHP 6 1/2 10/22/77</v>
      </c>
      <c r="H52" s="5" t="str" cm="1">
        <f t="array" ref="H52">_xll.BDP(bonds[[#This Row],[worksheet get]],bonds[[#Headers],[ticker]])</f>
        <v>BHP</v>
      </c>
      <c r="I52" s="5" cm="1">
        <f t="array" ref="I52">_xll.BDP(bonds[[#This Row],[worksheet get]],bonds[[#Headers],[coupon]])</f>
        <v>6.5</v>
      </c>
      <c r="J52" s="8" cm="1">
        <f t="array" ref="J52">_xll.BDP(bonds[[#This Row],[worksheet get]],bonds[[#Headers],[nxt_call_dt]])*1</f>
        <v>44856</v>
      </c>
      <c r="K52" s="9" t="str" cm="1">
        <f t="array" ref="K52">_xll.BDP(bonds[[#This Row],[worksheet get]],bonds[[#Headers],[mty_typ]])</f>
        <v>CALLABLE</v>
      </c>
      <c r="L52" s="9" t="str" cm="1">
        <f t="array" ref="L52">_xll.BDP(bonds[[#This Row],[worksheet get]],bonds[[#Headers],[crncy]])</f>
        <v>GBP</v>
      </c>
      <c r="M52" s="10" cm="1">
        <f t="array" ref="M52">_xll.BDP(bonds[[#This Row],[worksheet get]],bonds[[#Headers],[amt_outstanding]])</f>
        <v>600000000</v>
      </c>
      <c r="N52" s="9" t="str" cm="1">
        <f t="array" ref="N52">_xll.BDP(bonds[[#This Row],[worksheet get]],bonds[[#Headers],[industry_sector]])</f>
        <v>Basic Materials</v>
      </c>
      <c r="O52" s="9" t="str">
        <f>bonds[[#This Row],[security name]]&amp;" nc-"&amp;RIGHT(YEAR(bonds[[#This Row],[nxt_call_dt]]),2)</f>
        <v>BHP 6 1/2 10/22/77 nc-22</v>
      </c>
      <c r="Q52" s="5" t="str">
        <v>AFFP</v>
      </c>
      <c r="Z52" s="1" t="s">
        <v>281</v>
      </c>
      <c r="AA52" s="5" t="s">
        <v>211</v>
      </c>
    </row>
    <row r="53" spans="5:27" x14ac:dyDescent="0.25">
      <c r="E53" s="5" t="s">
        <v>282</v>
      </c>
      <c r="F53" s="5" t="str" cm="1">
        <f t="array" ref="F53">_xll.BDP(bonds[[#This Row],[worksheet get]],bonds[[#Headers],[ID_ISIN]])</f>
        <v>XS0969341147</v>
      </c>
      <c r="G53" s="5" t="str" cm="1">
        <f t="array" ref="G53">_xll.BDP(bonds[[#This Row],[worksheet get]],bonds[[#Headers],[security name]])</f>
        <v>AMXLMM 6 3/8 09/06/73</v>
      </c>
      <c r="H53" s="5" t="str" cm="1">
        <f t="array" ref="H53">_xll.BDP(bonds[[#This Row],[worksheet get]],bonds[[#Headers],[ticker]])</f>
        <v>AMXLMM</v>
      </c>
      <c r="I53" s="5" cm="1">
        <f t="array" ref="I53">_xll.BDP(bonds[[#This Row],[worksheet get]],bonds[[#Headers],[coupon]])</f>
        <v>6.375</v>
      </c>
      <c r="J53" s="8" cm="1">
        <f t="array" ref="J53">_xll.BDP(bonds[[#This Row],[worksheet get]],bonds[[#Headers],[nxt_call_dt]])*1</f>
        <v>45175</v>
      </c>
      <c r="K53" s="9" t="str" cm="1">
        <f t="array" ref="K53">_xll.BDP(bonds[[#This Row],[worksheet get]],bonds[[#Headers],[mty_typ]])</f>
        <v>CALLABLE</v>
      </c>
      <c r="L53" s="9" t="str" cm="1">
        <f t="array" ref="L53">_xll.BDP(bonds[[#This Row],[worksheet get]],bonds[[#Headers],[crncy]])</f>
        <v>EUR</v>
      </c>
      <c r="M53" s="10" cm="1">
        <f t="array" ref="M53">_xll.BDP(bonds[[#This Row],[worksheet get]],bonds[[#Headers],[amt_outstanding]])</f>
        <v>550000000</v>
      </c>
      <c r="N53" s="9" t="str" cm="1">
        <f t="array" ref="N53">_xll.BDP(bonds[[#This Row],[worksheet get]],bonds[[#Headers],[industry_sector]])</f>
        <v>Communications</v>
      </c>
      <c r="O53" s="9" t="str">
        <f>bonds[[#This Row],[security name]]&amp;" nc-"&amp;RIGHT(YEAR(bonds[[#This Row],[nxt_call_dt]]),2)</f>
        <v>AMXLMM 6 3/8 09/06/73 nc-23</v>
      </c>
      <c r="Q53" s="5" t="str">
        <v>LHAGR</v>
      </c>
      <c r="Z53" s="1" t="s">
        <v>58</v>
      </c>
      <c r="AA53" s="5" t="s">
        <v>171</v>
      </c>
    </row>
    <row r="54" spans="5:27" x14ac:dyDescent="0.25">
      <c r="E54" s="5" t="s">
        <v>283</v>
      </c>
      <c r="F54" s="5" t="str" cm="1">
        <f t="array" ref="F54">_xll.BDP(bonds[[#This Row],[worksheet get]],bonds[[#Headers],[ID_ISIN]])</f>
        <v>XS0969342384</v>
      </c>
      <c r="G54" s="5" t="str" cm="1">
        <f t="array" ref="G54">_xll.BDP(bonds[[#This Row],[worksheet get]],bonds[[#Headers],[security name]])</f>
        <v>AMXLMM 6 3/8 09/06/73</v>
      </c>
      <c r="H54" s="5" t="str" cm="1">
        <f t="array" ref="H54">_xll.BDP(bonds[[#This Row],[worksheet get]],bonds[[#Headers],[ticker]])</f>
        <v>AMXLMM</v>
      </c>
      <c r="I54" s="5" cm="1">
        <f t="array" ref="I54">_xll.BDP(bonds[[#This Row],[worksheet get]],bonds[[#Headers],[coupon]])</f>
        <v>6.375</v>
      </c>
      <c r="J54" s="8" cm="1">
        <f t="array" ref="J54">_xll.BDP(bonds[[#This Row],[worksheet get]],bonds[[#Headers],[nxt_call_dt]])*1</f>
        <v>44080</v>
      </c>
      <c r="K54" s="9" t="str" cm="1">
        <f t="array" ref="K54">_xll.BDP(bonds[[#This Row],[worksheet get]],bonds[[#Headers],[mty_typ]])</f>
        <v>CALLABLE</v>
      </c>
      <c r="L54" s="9" t="str" cm="1">
        <f t="array" ref="L54">_xll.BDP(bonds[[#This Row],[worksheet get]],bonds[[#Headers],[crncy]])</f>
        <v>GBP</v>
      </c>
      <c r="M54" s="10" cm="1">
        <f t="array" ref="M54">_xll.BDP(bonds[[#This Row],[worksheet get]],bonds[[#Headers],[amt_outstanding]])</f>
        <v>550000000</v>
      </c>
      <c r="N54" s="9" t="str" cm="1">
        <f t="array" ref="N54">_xll.BDP(bonds[[#This Row],[worksheet get]],bonds[[#Headers],[industry_sector]])</f>
        <v>Communications</v>
      </c>
      <c r="O54" s="9" t="str">
        <f>bonds[[#This Row],[security name]]&amp;" nc-"&amp;RIGHT(YEAR(bonds[[#This Row],[nxt_call_dt]]),2)</f>
        <v>AMXLMM 6 3/8 09/06/73 nc-20</v>
      </c>
      <c r="Q54" s="5" t="str">
        <v>FERSM</v>
      </c>
      <c r="Z54" s="1" t="s">
        <v>284</v>
      </c>
      <c r="AA54" s="5" t="s">
        <v>174</v>
      </c>
    </row>
    <row r="55" spans="5:27" x14ac:dyDescent="0.25">
      <c r="E55" s="5" t="s">
        <v>116</v>
      </c>
      <c r="F55" s="5" t="str" cm="1">
        <f t="array" ref="F55">_xll.BDP(bonds[[#This Row],[worksheet get]],bonds[[#Headers],[ID_ISIN]])</f>
        <v>XS1222591023</v>
      </c>
      <c r="G55" s="5" t="str" cm="1">
        <f t="array" ref="G55">_xll.BDP(bonds[[#This Row],[worksheet get]],bonds[[#Headers],[security name]])</f>
        <v>BERTEL 3 04/23/75</v>
      </c>
      <c r="H55" s="5" t="str" cm="1">
        <f t="array" ref="H55">_xll.BDP(bonds[[#This Row],[worksheet get]],bonds[[#Headers],[ticker]])</f>
        <v>BERTEL</v>
      </c>
      <c r="I55" s="5" cm="1">
        <f t="array" ref="I55">_xll.BDP(bonds[[#This Row],[worksheet get]],bonds[[#Headers],[coupon]])</f>
        <v>3</v>
      </c>
      <c r="J55" s="8" cm="1">
        <f t="array" ref="J55">_xll.BDP(bonds[[#This Row],[worksheet get]],bonds[[#Headers],[nxt_call_dt]])*1</f>
        <v>45039</v>
      </c>
      <c r="K55" s="9" t="str" cm="1">
        <f t="array" ref="K55">_xll.BDP(bonds[[#This Row],[worksheet get]],bonds[[#Headers],[mty_typ]])</f>
        <v>CALLABLE</v>
      </c>
      <c r="L55" s="9" t="str" cm="1">
        <f t="array" ref="L55">_xll.BDP(bonds[[#This Row],[worksheet get]],bonds[[#Headers],[crncy]])</f>
        <v>EUR</v>
      </c>
      <c r="M55" s="10" cm="1">
        <f t="array" ref="M55">_xll.BDP(bonds[[#This Row],[worksheet get]],bonds[[#Headers],[amt_outstanding]])</f>
        <v>650000000</v>
      </c>
      <c r="N55" s="9" t="str" cm="1">
        <f t="array" ref="N55">_xll.BDP(bonds[[#This Row],[worksheet get]],bonds[[#Headers],[industry_sector]])</f>
        <v>Communications</v>
      </c>
      <c r="O55" s="9" t="str">
        <f>bonds[[#This Row],[security name]]&amp;" nc-"&amp;RIGHT(YEAR(bonds[[#This Row],[nxt_call_dt]]),2)</f>
        <v>BERTEL 3 04/23/75 nc-23</v>
      </c>
      <c r="Q55" s="5" t="str">
        <v>ANNGR</v>
      </c>
      <c r="Z55" s="1" t="s">
        <v>139</v>
      </c>
      <c r="AA55" s="5" t="s">
        <v>174</v>
      </c>
    </row>
    <row r="56" spans="5:27" x14ac:dyDescent="0.25">
      <c r="E56" s="5" t="s">
        <v>117</v>
      </c>
      <c r="F56" s="5" t="str" cm="1">
        <f t="array" ref="F56">_xll.BDP(bonds[[#This Row],[worksheet get]],bonds[[#Headers],[ID_ISIN]])</f>
        <v>XS1222594472</v>
      </c>
      <c r="G56" s="5" t="str" cm="1">
        <f t="array" ref="G56">_xll.BDP(bonds[[#This Row],[worksheet get]],bonds[[#Headers],[security name]])</f>
        <v>BERTEL 3 1/2 04/23/75</v>
      </c>
      <c r="H56" s="5" t="str" cm="1">
        <f t="array" ref="H56">_xll.BDP(bonds[[#This Row],[worksheet get]],bonds[[#Headers],[ticker]])</f>
        <v>BERTEL</v>
      </c>
      <c r="I56" s="5" cm="1">
        <f t="array" ref="I56">_xll.BDP(bonds[[#This Row],[worksheet get]],bonds[[#Headers],[coupon]])</f>
        <v>3.5</v>
      </c>
      <c r="J56" s="8" cm="1">
        <f t="array" ref="J56">_xll.BDP(bonds[[#This Row],[worksheet get]],bonds[[#Headers],[nxt_call_dt]])*1</f>
        <v>46500</v>
      </c>
      <c r="K56" s="9" t="str" cm="1">
        <f t="array" ref="K56">_xll.BDP(bonds[[#This Row],[worksheet get]],bonds[[#Headers],[mty_typ]])</f>
        <v>CALLABLE</v>
      </c>
      <c r="L56" s="9" t="str" cm="1">
        <f t="array" ref="L56">_xll.BDP(bonds[[#This Row],[worksheet get]],bonds[[#Headers],[crncy]])</f>
        <v>EUR</v>
      </c>
      <c r="M56" s="10" cm="1">
        <f t="array" ref="M56">_xll.BDP(bonds[[#This Row],[worksheet get]],bonds[[#Headers],[amt_outstanding]])</f>
        <v>600000000</v>
      </c>
      <c r="N56" s="9" t="str" cm="1">
        <f t="array" ref="N56">_xll.BDP(bonds[[#This Row],[worksheet get]],bonds[[#Headers],[industry_sector]])</f>
        <v>Communications</v>
      </c>
      <c r="O56" s="9" t="str">
        <f>bonds[[#This Row],[security name]]&amp;" nc-"&amp;RIGHT(YEAR(bonds[[#This Row],[nxt_call_dt]]),2)</f>
        <v>BERTEL 3 1/2 04/23/75 nc-27</v>
      </c>
      <c r="Q56" s="5" t="str">
        <v>ULFP</v>
      </c>
      <c r="Z56" s="1" t="s">
        <v>70</v>
      </c>
      <c r="AA56" s="5" t="s">
        <v>174</v>
      </c>
    </row>
    <row r="57" spans="5:27" x14ac:dyDescent="0.25">
      <c r="E57" s="5" t="s">
        <v>285</v>
      </c>
      <c r="F57" s="5" t="str" cm="1">
        <f t="array" ref="F57">_xll.BDP(bonds[[#This Row],[worksheet get]],bonds[[#Headers],[ID_ISIN]])</f>
        <v>USN4297BBC74</v>
      </c>
      <c r="G57" s="5" t="str" cm="1">
        <f t="array" ref="G57">_xll.BDP(bonds[[#This Row],[worksheet get]],bonds[[#Headers],[security name]])</f>
        <v>KPN 7 03/28/73</v>
      </c>
      <c r="H57" s="5" t="str" cm="1">
        <f t="array" ref="H57">_xll.BDP(bonds[[#This Row],[worksheet get]],bonds[[#Headers],[ticker]])</f>
        <v>KPN</v>
      </c>
      <c r="I57" s="5" cm="1">
        <f t="array" ref="I57">_xll.BDP(bonds[[#This Row],[worksheet get]],bonds[[#Headers],[coupon]])</f>
        <v>7</v>
      </c>
      <c r="J57" s="8" cm="1">
        <f t="array" ref="J57">_xll.BDP(bonds[[#This Row],[worksheet get]],bonds[[#Headers],[nxt_call_dt]])*1</f>
        <v>45013</v>
      </c>
      <c r="K57" s="9" t="str" cm="1">
        <f t="array" ref="K57">_xll.BDP(bonds[[#This Row],[worksheet get]],bonds[[#Headers],[mty_typ]])</f>
        <v>CALLABLE</v>
      </c>
      <c r="L57" s="9" t="str" cm="1">
        <f t="array" ref="L57">_xll.BDP(bonds[[#This Row],[worksheet get]],bonds[[#Headers],[crncy]])</f>
        <v>USD</v>
      </c>
      <c r="M57" s="10" cm="1">
        <f t="array" ref="M57">_xll.BDP(bonds[[#This Row],[worksheet get]],bonds[[#Headers],[amt_outstanding]])</f>
        <v>600000000</v>
      </c>
      <c r="N57" s="9" t="str" cm="1">
        <f t="array" ref="N57">_xll.BDP(bonds[[#This Row],[worksheet get]],bonds[[#Headers],[industry_sector]])</f>
        <v>Communications</v>
      </c>
      <c r="O57" s="9" t="str">
        <f>bonds[[#This Row],[security name]]&amp;" nc-"&amp;RIGHT(YEAR(bonds[[#This Row],[nxt_call_dt]]),2)</f>
        <v>KPN 7 03/28/73 nc-23</v>
      </c>
      <c r="Q57" s="5" t="str">
        <v>AKFAST</v>
      </c>
      <c r="Z57" s="1" t="s">
        <v>286</v>
      </c>
      <c r="AA57" s="5" t="s">
        <v>174</v>
      </c>
    </row>
    <row r="58" spans="5:27" x14ac:dyDescent="0.25">
      <c r="E58" s="5" t="s">
        <v>287</v>
      </c>
      <c r="F58" s="5" t="str" cm="1">
        <f t="array" ref="F58">_xll.BDP(bonds[[#This Row],[worksheet get]],bonds[[#Headers],[ID_ISIN]])</f>
        <v>XS2069101868</v>
      </c>
      <c r="G58" s="5" t="str" cm="1">
        <f t="array" ref="G58">_xll.BDP(bonds[[#This Row],[worksheet get]],bonds[[#Headers],[security name]])</f>
        <v>KPN 2 PERP</v>
      </c>
      <c r="H58" s="5" t="str" cm="1">
        <f t="array" ref="H58">_xll.BDP(bonds[[#This Row],[worksheet get]],bonds[[#Headers],[ticker]])</f>
        <v>KPN</v>
      </c>
      <c r="I58" s="5" cm="1">
        <f t="array" ref="I58">_xll.BDP(bonds[[#This Row],[worksheet get]],bonds[[#Headers],[coupon]])</f>
        <v>2</v>
      </c>
      <c r="J58" s="8" cm="1">
        <f t="array" ref="J58">_xll.BDP(bonds[[#This Row],[worksheet get]],bonds[[#Headers],[nxt_call_dt]])*1</f>
        <v>45604</v>
      </c>
      <c r="K58" s="9" t="str" cm="1">
        <f t="array" ref="K58">_xll.BDP(bonds[[#This Row],[worksheet get]],bonds[[#Headers],[mty_typ]])</f>
        <v>PERP/CALL</v>
      </c>
      <c r="L58" s="9" t="str" cm="1">
        <f t="array" ref="L58">_xll.BDP(bonds[[#This Row],[worksheet get]],bonds[[#Headers],[crncy]])</f>
        <v>EUR</v>
      </c>
      <c r="M58" s="10" cm="1">
        <f t="array" ref="M58">_xll.BDP(bonds[[#This Row],[worksheet get]],bonds[[#Headers],[amt_outstanding]])</f>
        <v>500000000</v>
      </c>
      <c r="N58" s="9" t="str" cm="1">
        <f t="array" ref="N58">_xll.BDP(bonds[[#This Row],[worksheet get]],bonds[[#Headers],[industry_sector]])</f>
        <v>Communications</v>
      </c>
      <c r="O58" s="9" t="str">
        <f>bonds[[#This Row],[security name]]&amp;" nc-"&amp;RIGHT(YEAR(bonds[[#This Row],[nxt_call_dt]]),2)</f>
        <v>KPN 2 PERP nc-24</v>
      </c>
      <c r="Q58" s="5" t="str">
        <v>BALDER</v>
      </c>
      <c r="Z58" s="1" t="s">
        <v>288</v>
      </c>
      <c r="AA58" s="5" t="s">
        <v>174</v>
      </c>
    </row>
    <row r="59" spans="5:27" x14ac:dyDescent="0.25">
      <c r="E59" s="5" t="s">
        <v>92</v>
      </c>
      <c r="F59" s="5" t="str" cm="1">
        <f t="array" ref="F59">_xll.BDP(bonds[[#This Row],[worksheet get]],bonds[[#Headers],[ID_ISIN]])</f>
        <v>XS1590787799</v>
      </c>
      <c r="G59" s="5" t="str" cm="1">
        <f t="array" ref="G59">_xll.BDP(bonds[[#This Row],[worksheet get]],bonds[[#Headers],[security name]])</f>
        <v>TELIAS 3 04/04/78</v>
      </c>
      <c r="H59" s="5" t="str" cm="1">
        <f t="array" ref="H59">_xll.BDP(bonds[[#This Row],[worksheet get]],bonds[[#Headers],[ticker]])</f>
        <v>TELIAS</v>
      </c>
      <c r="I59" s="5" cm="1">
        <f t="array" ref="I59">_xll.BDP(bonds[[#This Row],[worksheet get]],bonds[[#Headers],[coupon]])</f>
        <v>3</v>
      </c>
      <c r="J59" s="8" cm="1">
        <f t="array" ref="J59">_xll.BDP(bonds[[#This Row],[worksheet get]],bonds[[#Headers],[nxt_call_dt]])*1</f>
        <v>45020</v>
      </c>
      <c r="K59" s="9" t="str" cm="1">
        <f t="array" ref="K59">_xll.BDP(bonds[[#This Row],[worksheet get]],bonds[[#Headers],[mty_typ]])</f>
        <v>CALLABLE</v>
      </c>
      <c r="L59" s="9" t="str" cm="1">
        <f t="array" ref="L59">_xll.BDP(bonds[[#This Row],[worksheet get]],bonds[[#Headers],[crncy]])</f>
        <v>EUR</v>
      </c>
      <c r="M59" s="10" cm="1">
        <f t="array" ref="M59">_xll.BDP(bonds[[#This Row],[worksheet get]],bonds[[#Headers],[amt_outstanding]])</f>
        <v>900000000</v>
      </c>
      <c r="N59" s="9" t="str" cm="1">
        <f t="array" ref="N59">_xll.BDP(bonds[[#This Row],[worksheet get]],bonds[[#Headers],[industry_sector]])</f>
        <v>Communications</v>
      </c>
      <c r="O59" s="9" t="str">
        <f>bonds[[#This Row],[security name]]&amp;" nc-"&amp;RIGHT(YEAR(bonds[[#This Row],[nxt_call_dt]]),2)</f>
        <v>TELIAS 3 04/04/78 nc-23</v>
      </c>
      <c r="Q59" s="5" t="str">
        <v>TLGGR</v>
      </c>
      <c r="Z59" s="1" t="s">
        <v>289</v>
      </c>
      <c r="AA59" s="5" t="s">
        <v>174</v>
      </c>
    </row>
    <row r="60" spans="5:27" x14ac:dyDescent="0.25">
      <c r="E60" s="5" t="s">
        <v>93</v>
      </c>
      <c r="F60" s="5" t="str" cm="1">
        <f t="array" ref="F60">_xll.BDP(bonds[[#This Row],[worksheet get]],bonds[[#Headers],[ID_ISIN]])</f>
        <v>XS2082429890</v>
      </c>
      <c r="G60" s="5" t="str" cm="1">
        <f t="array" ref="G60">_xll.BDP(bonds[[#This Row],[worksheet get]],bonds[[#Headers],[security name]])</f>
        <v>TELIAS 1 3/8 05/11/81</v>
      </c>
      <c r="H60" s="5" t="str" cm="1">
        <f t="array" ref="H60">_xll.BDP(bonds[[#This Row],[worksheet get]],bonds[[#Headers],[ticker]])</f>
        <v>TELIAS</v>
      </c>
      <c r="I60" s="5" cm="1">
        <f t="array" ref="I60">_xll.BDP(bonds[[#This Row],[worksheet get]],bonds[[#Headers],[coupon]])</f>
        <v>1.375</v>
      </c>
      <c r="J60" s="8" cm="1">
        <f t="array" ref="J60">_xll.BDP(bonds[[#This Row],[worksheet get]],bonds[[#Headers],[nxt_call_dt]])*1</f>
        <v>46064</v>
      </c>
      <c r="K60" s="9" t="str" cm="1">
        <f t="array" ref="K60">_xll.BDP(bonds[[#This Row],[worksheet get]],bonds[[#Headers],[mty_typ]])</f>
        <v>CALLABLE</v>
      </c>
      <c r="L60" s="9" t="str" cm="1">
        <f t="array" ref="L60">_xll.BDP(bonds[[#This Row],[worksheet get]],bonds[[#Headers],[crncy]])</f>
        <v>EUR</v>
      </c>
      <c r="M60" s="10" cm="1">
        <f t="array" ref="M60">_xll.BDP(bonds[[#This Row],[worksheet get]],bonds[[#Headers],[amt_outstanding]])</f>
        <v>500000000</v>
      </c>
      <c r="N60" s="9" t="str" cm="1">
        <f t="array" ref="N60">_xll.BDP(bonds[[#This Row],[worksheet get]],bonds[[#Headers],[industry_sector]])</f>
        <v>Communications</v>
      </c>
      <c r="O60" s="9" t="str">
        <f>bonds[[#This Row],[security name]]&amp;" nc-"&amp;RIGHT(YEAR(bonds[[#This Row],[nxt_call_dt]]),2)</f>
        <v>TELIAS 1 3/8 05/11/81 nc-26</v>
      </c>
      <c r="Q60" s="5" t="str">
        <v>HEIBOS</v>
      </c>
      <c r="Z60" s="1" t="s">
        <v>85</v>
      </c>
      <c r="AA60" s="5" t="s">
        <v>174</v>
      </c>
    </row>
    <row r="61" spans="5:27" x14ac:dyDescent="0.25">
      <c r="E61" s="5" t="s">
        <v>38</v>
      </c>
      <c r="F61" s="5" t="str" cm="1">
        <f t="array" ref="F61">_xll.BDP(bonds[[#This Row],[worksheet get]],bonds[[#Headers],[ID_ISIN]])</f>
        <v>XS1405777746</v>
      </c>
      <c r="G61" s="5" t="str" cm="1">
        <f t="array" ref="G61">_xll.BDP(bonds[[#This Row],[worksheet get]],bonds[[#Headers],[security name]])</f>
        <v>SESGFP 4 5/8 PERP</v>
      </c>
      <c r="H61" s="5" t="str" cm="1">
        <f t="array" ref="H61">_xll.BDP(bonds[[#This Row],[worksheet get]],bonds[[#Headers],[ticker]])</f>
        <v>SESGFP</v>
      </c>
      <c r="I61" s="5" cm="1">
        <f t="array" ref="I61">_xll.BDP(bonds[[#This Row],[worksheet get]],bonds[[#Headers],[coupon]])</f>
        <v>4.625</v>
      </c>
      <c r="J61" s="8" cm="1">
        <f t="array" ref="J61">_xll.BDP(bonds[[#This Row],[worksheet get]],bonds[[#Headers],[nxt_call_dt]])*1</f>
        <v>44563</v>
      </c>
      <c r="K61" s="9" t="str" cm="1">
        <f t="array" ref="K61">_xll.BDP(bonds[[#This Row],[worksheet get]],bonds[[#Headers],[mty_typ]])</f>
        <v>PERP/CALL</v>
      </c>
      <c r="L61" s="9" t="str" cm="1">
        <f t="array" ref="L61">_xll.BDP(bonds[[#This Row],[worksheet get]],bonds[[#Headers],[crncy]])</f>
        <v>EUR</v>
      </c>
      <c r="M61" s="10" cm="1">
        <f t="array" ref="M61">_xll.BDP(bonds[[#This Row],[worksheet get]],bonds[[#Headers],[amt_outstanding]])</f>
        <v>750000000</v>
      </c>
      <c r="N61" s="9" t="str" cm="1">
        <f t="array" ref="N61">_xll.BDP(bonds[[#This Row],[worksheet get]],bonds[[#Headers],[industry_sector]])</f>
        <v>Communications</v>
      </c>
      <c r="O61" s="9" t="str">
        <f>bonds[[#This Row],[security name]]&amp;" nc-"&amp;RIGHT(YEAR(bonds[[#This Row],[nxt_call_dt]]),2)</f>
        <v>SESGFP 4 5/8 PERP nc-22</v>
      </c>
      <c r="Q61" s="5" t="str">
        <v>SBBBSS</v>
      </c>
      <c r="Z61" s="1" t="s">
        <v>290</v>
      </c>
      <c r="AA61" s="5" t="s">
        <v>174</v>
      </c>
    </row>
    <row r="62" spans="5:27" x14ac:dyDescent="0.25">
      <c r="E62" s="5" t="s">
        <v>39</v>
      </c>
      <c r="F62" s="5" t="str" cm="1">
        <f t="array" ref="F62">_xll.BDP(bonds[[#This Row],[worksheet get]],bonds[[#Headers],[ID_ISIN]])</f>
        <v>XS1405765659</v>
      </c>
      <c r="G62" s="5" t="str" cm="1">
        <f t="array" ref="G62">_xll.BDP(bonds[[#This Row],[worksheet get]],bonds[[#Headers],[security name]])</f>
        <v>SESGFP 5 5/8 PERP</v>
      </c>
      <c r="H62" s="5" t="str" cm="1">
        <f t="array" ref="H62">_xll.BDP(bonds[[#This Row],[worksheet get]],bonds[[#Headers],[ticker]])</f>
        <v>SESGFP</v>
      </c>
      <c r="I62" s="5" cm="1">
        <f t="array" ref="I62">_xll.BDP(bonds[[#This Row],[worksheet get]],bonds[[#Headers],[coupon]])</f>
        <v>5.625</v>
      </c>
      <c r="J62" s="8" cm="1">
        <f t="array" ref="J62">_xll.BDP(bonds[[#This Row],[worksheet get]],bonds[[#Headers],[nxt_call_dt]])*1</f>
        <v>45320</v>
      </c>
      <c r="K62" s="9" t="str" cm="1">
        <f t="array" ref="K62">_xll.BDP(bonds[[#This Row],[worksheet get]],bonds[[#Headers],[mty_typ]])</f>
        <v>PERP/CALL</v>
      </c>
      <c r="L62" s="9" t="str" cm="1">
        <f t="array" ref="L62">_xll.BDP(bonds[[#This Row],[worksheet get]],bonds[[#Headers],[crncy]])</f>
        <v>EUR</v>
      </c>
      <c r="M62" s="10" cm="1">
        <f t="array" ref="M62">_xll.BDP(bonds[[#This Row],[worksheet get]],bonds[[#Headers],[amt_outstanding]])</f>
        <v>550000000</v>
      </c>
      <c r="N62" s="9" t="str" cm="1">
        <f t="array" ref="N62">_xll.BDP(bonds[[#This Row],[worksheet get]],bonds[[#Headers],[industry_sector]])</f>
        <v>Communications</v>
      </c>
      <c r="O62" s="9" t="str">
        <f>bonds[[#This Row],[security name]]&amp;" nc-"&amp;RIGHT(YEAR(bonds[[#This Row],[nxt_call_dt]]),2)</f>
        <v>SESGFP 5 5/8 PERP nc-24</v>
      </c>
      <c r="Q62" s="5" t="str">
        <v>ARNDTN</v>
      </c>
      <c r="Z62" s="1" t="s">
        <v>40</v>
      </c>
      <c r="AA62" s="5" t="s">
        <v>174</v>
      </c>
    </row>
    <row r="63" spans="5:27" x14ac:dyDescent="0.25">
      <c r="E63" s="5" t="s">
        <v>291</v>
      </c>
      <c r="F63" s="5" t="str" cm="1">
        <f t="array" ref="F63">_xll.BDP(bonds[[#This Row],[worksheet get]],bonds[[#Headers],[ID_ISIN]])</f>
        <v>XS1115490523</v>
      </c>
      <c r="G63" s="5" t="str" cm="1">
        <f t="array" ref="G63">_xll.BDP(bonds[[#This Row],[worksheet get]],bonds[[#Headers],[security name]])</f>
        <v>ORAFP 4 PERP</v>
      </c>
      <c r="H63" s="5" t="str" cm="1">
        <f t="array" ref="H63">_xll.BDP(bonds[[#This Row],[worksheet get]],bonds[[#Headers],[ticker]])</f>
        <v>ORAFP</v>
      </c>
      <c r="I63" s="5" cm="1">
        <f t="array" ref="I63">_xll.BDP(bonds[[#This Row],[worksheet get]],bonds[[#Headers],[coupon]])</f>
        <v>4</v>
      </c>
      <c r="J63" s="8" cm="1">
        <f t="array" ref="J63">_xll.BDP(bonds[[#This Row],[worksheet get]],bonds[[#Headers],[nxt_call_dt]])*1</f>
        <v>44470</v>
      </c>
      <c r="K63" s="9" t="str" cm="1">
        <f t="array" ref="K63">_xll.BDP(bonds[[#This Row],[worksheet get]],bonds[[#Headers],[mty_typ]])</f>
        <v>PERP/CALL</v>
      </c>
      <c r="L63" s="9" t="str" cm="1">
        <f t="array" ref="L63">_xll.BDP(bonds[[#This Row],[worksheet get]],bonds[[#Headers],[crncy]])</f>
        <v>EUR</v>
      </c>
      <c r="M63" s="10" cm="1">
        <f t="array" ref="M63">_xll.BDP(bonds[[#This Row],[worksheet get]],bonds[[#Headers],[amt_outstanding]])</f>
        <v>500001000</v>
      </c>
      <c r="N63" s="9" t="str" cm="1">
        <f t="array" ref="N63">_xll.BDP(bonds[[#This Row],[worksheet get]],bonds[[#Headers],[industry_sector]])</f>
        <v>Communications</v>
      </c>
      <c r="O63" s="9" t="str">
        <f>bonds[[#This Row],[security name]]&amp;" nc-"&amp;RIGHT(YEAR(bonds[[#This Row],[nxt_call_dt]]),2)</f>
        <v>ORAFP 4 PERP nc-21</v>
      </c>
      <c r="Q63" s="5" t="str">
        <v>GYCGR</v>
      </c>
      <c r="Z63" s="1" t="s">
        <v>97</v>
      </c>
      <c r="AA63" s="5" t="s">
        <v>174</v>
      </c>
    </row>
    <row r="64" spans="5:27" x14ac:dyDescent="0.25">
      <c r="E64" s="5" t="s">
        <v>292</v>
      </c>
      <c r="F64" s="5" t="str" cm="1">
        <f t="array" ref="F64">_xll.BDP(bonds[[#This Row],[worksheet get]],bonds[[#Headers],[ID_ISIN]])</f>
        <v>XS1028599287</v>
      </c>
      <c r="G64" s="5" t="str" cm="1">
        <f t="array" ref="G64">_xll.BDP(bonds[[#This Row],[worksheet get]],bonds[[#Headers],[security name]])</f>
        <v>ORAFP 5 1/4 PERP</v>
      </c>
      <c r="H64" s="5" t="str" cm="1">
        <f t="array" ref="H64">_xll.BDP(bonds[[#This Row],[worksheet get]],bonds[[#Headers],[ticker]])</f>
        <v>ORAFP</v>
      </c>
      <c r="I64" s="5" cm="1">
        <f t="array" ref="I64">_xll.BDP(bonds[[#This Row],[worksheet get]],bonds[[#Headers],[coupon]])</f>
        <v>5.25</v>
      </c>
      <c r="J64" s="8" cm="1">
        <f t="array" ref="J64">_xll.BDP(bonds[[#This Row],[worksheet get]],bonds[[#Headers],[nxt_call_dt]])*1</f>
        <v>45329</v>
      </c>
      <c r="K64" s="9" t="str" cm="1">
        <f t="array" ref="K64">_xll.BDP(bonds[[#This Row],[worksheet get]],bonds[[#Headers],[mty_typ]])</f>
        <v>PERP/CALL</v>
      </c>
      <c r="L64" s="9" t="str" cm="1">
        <f t="array" ref="L64">_xll.BDP(bonds[[#This Row],[worksheet get]],bonds[[#Headers],[crncy]])</f>
        <v>EUR</v>
      </c>
      <c r="M64" s="10" cm="1">
        <f t="array" ref="M64">_xll.BDP(bonds[[#This Row],[worksheet get]],bonds[[#Headers],[amt_outstanding]])</f>
        <v>1000000000</v>
      </c>
      <c r="N64" s="9" t="str" cm="1">
        <f t="array" ref="N64">_xll.BDP(bonds[[#This Row],[worksheet get]],bonds[[#Headers],[industry_sector]])</f>
        <v>Communications</v>
      </c>
      <c r="O64" s="9" t="str">
        <f>bonds[[#This Row],[security name]]&amp;" nc-"&amp;RIGHT(YEAR(bonds[[#This Row],[nxt_call_dt]]),2)</f>
        <v>ORAFP 5 1/4 PERP nc-24</v>
      </c>
      <c r="Q64" s="5" t="str">
        <v>CPIPGR</v>
      </c>
      <c r="Z64" s="1" t="s">
        <v>293</v>
      </c>
      <c r="AA64" s="5" t="s">
        <v>211</v>
      </c>
    </row>
    <row r="65" spans="5:27" x14ac:dyDescent="0.25">
      <c r="E65" s="5" t="s">
        <v>294</v>
      </c>
      <c r="F65" s="5" t="str" cm="1">
        <f t="array" ref="F65">_xll.BDP(bonds[[#This Row],[worksheet get]],bonds[[#Headers],[ID_ISIN]])</f>
        <v>FR0013413887</v>
      </c>
      <c r="G65" s="5" t="str" cm="1">
        <f t="array" ref="G65">_xll.BDP(bonds[[#This Row],[worksheet get]],bonds[[#Headers],[security name]])</f>
        <v>ORAFP 2 3/8 PERP</v>
      </c>
      <c r="H65" s="5" t="str" cm="1">
        <f t="array" ref="H65">_xll.BDP(bonds[[#This Row],[worksheet get]],bonds[[#Headers],[ticker]])</f>
        <v>ORAFP</v>
      </c>
      <c r="I65" s="5" cm="1">
        <f t="array" ref="I65">_xll.BDP(bonds[[#This Row],[worksheet get]],bonds[[#Headers],[coupon]])</f>
        <v>2.375</v>
      </c>
      <c r="J65" s="8" cm="1">
        <f t="array" ref="J65">_xll.BDP(bonds[[#This Row],[worksheet get]],bonds[[#Headers],[nxt_call_dt]])*1</f>
        <v>45672</v>
      </c>
      <c r="K65" s="9" t="str" cm="1">
        <f t="array" ref="K65">_xll.BDP(bonds[[#This Row],[worksheet get]],bonds[[#Headers],[mty_typ]])</f>
        <v>PERP/CALL</v>
      </c>
      <c r="L65" s="9" t="str" cm="1">
        <f t="array" ref="L65">_xll.BDP(bonds[[#This Row],[worksheet get]],bonds[[#Headers],[crncy]])</f>
        <v>EUR</v>
      </c>
      <c r="M65" s="10" cm="1">
        <f t="array" ref="M65">_xll.BDP(bonds[[#This Row],[worksheet get]],bonds[[#Headers],[amt_outstanding]])</f>
        <v>1000000000</v>
      </c>
      <c r="N65" s="9" t="str" cm="1">
        <f t="array" ref="N65">_xll.BDP(bonds[[#This Row],[worksheet get]],bonds[[#Headers],[industry_sector]])</f>
        <v>Communications</v>
      </c>
      <c r="O65" s="9" t="str">
        <f>bonds[[#This Row],[security name]]&amp;" nc-"&amp;RIGHT(YEAR(bonds[[#This Row],[nxt_call_dt]]),2)</f>
        <v>ORAFP 2 3/8 PERP nc-25</v>
      </c>
      <c r="Q65" s="5" t="str">
        <v>JUSTLN</v>
      </c>
      <c r="Z65" s="1" t="s">
        <v>295</v>
      </c>
      <c r="AA65" s="5" t="s">
        <v>229</v>
      </c>
    </row>
    <row r="66" spans="5:27" x14ac:dyDescent="0.25">
      <c r="E66" s="5" t="s">
        <v>296</v>
      </c>
      <c r="F66" s="5" t="str" cm="1">
        <f t="array" ref="F66">_xll.BDP(bonds[[#This Row],[worksheet get]],bonds[[#Headers],[ID_ISIN]])</f>
        <v>XS1115498260</v>
      </c>
      <c r="G66" s="5" t="str" cm="1">
        <f t="array" ref="G66">_xll.BDP(bonds[[#This Row],[worksheet get]],bonds[[#Headers],[security name]])</f>
        <v>ORAFP 5 PERP</v>
      </c>
      <c r="H66" s="5" t="str" cm="1">
        <f t="array" ref="H66">_xll.BDP(bonds[[#This Row],[worksheet get]],bonds[[#Headers],[ticker]])</f>
        <v>ORAFP</v>
      </c>
      <c r="I66" s="5" cm="1">
        <f t="array" ref="I66">_xll.BDP(bonds[[#This Row],[worksheet get]],bonds[[#Headers],[coupon]])</f>
        <v>5</v>
      </c>
      <c r="J66" s="8" cm="1">
        <f t="array" ref="J66">_xll.BDP(bonds[[#This Row],[worksheet get]],bonds[[#Headers],[nxt_call_dt]])*1</f>
        <v>46296</v>
      </c>
      <c r="K66" s="9" t="str" cm="1">
        <f t="array" ref="K66">_xll.BDP(bonds[[#This Row],[worksheet get]],bonds[[#Headers],[mty_typ]])</f>
        <v>PERP/CALL</v>
      </c>
      <c r="L66" s="9" t="str" cm="1">
        <f t="array" ref="L66">_xll.BDP(bonds[[#This Row],[worksheet get]],bonds[[#Headers],[crncy]])</f>
        <v>EUR</v>
      </c>
      <c r="M66" s="10" cm="1">
        <f t="array" ref="M66">_xll.BDP(bonds[[#This Row],[worksheet get]],bonds[[#Headers],[amt_outstanding]])</f>
        <v>1250000000</v>
      </c>
      <c r="N66" s="9" t="str" cm="1">
        <f t="array" ref="N66">_xll.BDP(bonds[[#This Row],[worksheet get]],bonds[[#Headers],[industry_sector]])</f>
        <v>Communications</v>
      </c>
      <c r="O66" s="9" t="str">
        <f>bonds[[#This Row],[security name]]&amp;" nc-"&amp;RIGHT(YEAR(bonds[[#This Row],[nxt_call_dt]]),2)</f>
        <v>ORAFP 5 PERP nc-26</v>
      </c>
      <c r="Q66" s="5" t="str">
        <v>SZUGR</v>
      </c>
      <c r="Z66" s="1" t="s">
        <v>297</v>
      </c>
      <c r="AA66" s="5" t="s">
        <v>211</v>
      </c>
    </row>
    <row r="67" spans="5:27" x14ac:dyDescent="0.25">
      <c r="E67" s="5" t="s">
        <v>298</v>
      </c>
      <c r="F67" s="5" t="str" cm="1">
        <f t="array" ref="F67">_xll.BDP(bonds[[#This Row],[worksheet get]],bonds[[#Headers],[ID_ISIN]])</f>
        <v>FR0013447877</v>
      </c>
      <c r="G67" s="5" t="str" cm="1">
        <f t="array" ref="G67">_xll.BDP(bonds[[#This Row],[worksheet get]],bonds[[#Headers],[security name]])</f>
        <v>ORAFP 1 3/4 PERP</v>
      </c>
      <c r="H67" s="5" t="str" cm="1">
        <f t="array" ref="H67">_xll.BDP(bonds[[#This Row],[worksheet get]],bonds[[#Headers],[ticker]])</f>
        <v>ORAFP</v>
      </c>
      <c r="I67" s="5" cm="1">
        <f t="array" ref="I67">_xll.BDP(bonds[[#This Row],[worksheet get]],bonds[[#Headers],[coupon]])</f>
        <v>1.75</v>
      </c>
      <c r="J67" s="8" cm="1">
        <f t="array" ref="J67">_xll.BDP(bonds[[#This Row],[worksheet get]],bonds[[#Headers],[nxt_call_dt]])*1</f>
        <v>46375</v>
      </c>
      <c r="K67" s="9" t="str" cm="1">
        <f t="array" ref="K67">_xll.BDP(bonds[[#This Row],[worksheet get]],bonds[[#Headers],[mty_typ]])</f>
        <v>PERP/CALL</v>
      </c>
      <c r="L67" s="9" t="str" cm="1">
        <f t="array" ref="L67">_xll.BDP(bonds[[#This Row],[worksheet get]],bonds[[#Headers],[crncy]])</f>
        <v>EUR</v>
      </c>
      <c r="M67" s="10" cm="1">
        <f t="array" ref="M67">_xll.BDP(bonds[[#This Row],[worksheet get]],bonds[[#Headers],[amt_outstanding]])</f>
        <v>500000000</v>
      </c>
      <c r="N67" s="9" t="str" cm="1">
        <f t="array" ref="N67">_xll.BDP(bonds[[#This Row],[worksheet get]],bonds[[#Headers],[industry_sector]])</f>
        <v>Communications</v>
      </c>
      <c r="O67" s="9" t="str">
        <f>bonds[[#This Row],[security name]]&amp;" nc-"&amp;RIGHT(YEAR(bonds[[#This Row],[nxt_call_dt]]),2)</f>
        <v>ORAFP 1 3/4 PERP nc-26</v>
      </c>
      <c r="Q67" s="5" t="str">
        <v>COFP</v>
      </c>
      <c r="Z67" s="1" t="s">
        <v>299</v>
      </c>
      <c r="AA67" s="5" t="s">
        <v>211</v>
      </c>
    </row>
    <row r="68" spans="5:27" x14ac:dyDescent="0.25">
      <c r="E68" s="5" t="s">
        <v>300</v>
      </c>
      <c r="F68" s="5" t="str" cm="1">
        <f t="array" ref="F68">_xll.BDP(bonds[[#This Row],[worksheet get]],bonds[[#Headers],[ID_ISIN]])</f>
        <v>XS1028597315</v>
      </c>
      <c r="G68" s="5" t="str" cm="1">
        <f t="array" ref="G68">_xll.BDP(bonds[[#This Row],[worksheet get]],bonds[[#Headers],[security name]])</f>
        <v>ORAFP 5 7/8 PERP</v>
      </c>
      <c r="H68" s="5" t="str" cm="1">
        <f t="array" ref="H68">_xll.BDP(bonds[[#This Row],[worksheet get]],bonds[[#Headers],[ticker]])</f>
        <v>ORAFP</v>
      </c>
      <c r="I68" s="5" cm="1">
        <f t="array" ref="I68">_xll.BDP(bonds[[#This Row],[worksheet get]],bonds[[#Headers],[coupon]])</f>
        <v>5.875</v>
      </c>
      <c r="J68" s="8" cm="1">
        <f t="array" ref="J68">_xll.BDP(bonds[[#This Row],[worksheet get]],bonds[[#Headers],[nxt_call_dt]])*1</f>
        <v>44599</v>
      </c>
      <c r="K68" s="9" t="str" cm="1">
        <f t="array" ref="K68">_xll.BDP(bonds[[#This Row],[worksheet get]],bonds[[#Headers],[mty_typ]])</f>
        <v>PERP/CALL</v>
      </c>
      <c r="L68" s="9" t="str" cm="1">
        <f t="array" ref="L68">_xll.BDP(bonds[[#This Row],[worksheet get]],bonds[[#Headers],[crncy]])</f>
        <v>GBP</v>
      </c>
      <c r="M68" s="10" cm="1">
        <f t="array" ref="M68">_xll.BDP(bonds[[#This Row],[worksheet get]],bonds[[#Headers],[amt_outstanding]])</f>
        <v>650000000</v>
      </c>
      <c r="N68" s="9" t="str" cm="1">
        <f t="array" ref="N68">_xll.BDP(bonds[[#This Row],[worksheet get]],bonds[[#Headers],[industry_sector]])</f>
        <v>Communications</v>
      </c>
      <c r="O68" s="9" t="str">
        <f>bonds[[#This Row],[security name]]&amp;" nc-"&amp;RIGHT(YEAR(bonds[[#This Row],[nxt_call_dt]]),2)</f>
        <v>ORAFP 5 7/8 PERP nc-22</v>
      </c>
      <c r="Q68" s="5" t="str">
        <v>SBRYLN</v>
      </c>
      <c r="Z68" s="1" t="s">
        <v>301</v>
      </c>
      <c r="AA68" s="5" t="s">
        <v>171</v>
      </c>
    </row>
    <row r="69" spans="5:27" x14ac:dyDescent="0.25">
      <c r="E69" s="5" t="s">
        <v>302</v>
      </c>
      <c r="F69" s="5" t="str" cm="1">
        <f t="array" ref="F69">_xll.BDP(bonds[[#This Row],[worksheet get]],bonds[[#Headers],[ID_ISIN]])</f>
        <v>XS1115502988</v>
      </c>
      <c r="G69" s="5" t="str" cm="1">
        <f t="array" ref="G69">_xll.BDP(bonds[[#This Row],[worksheet get]],bonds[[#Headers],[security name]])</f>
        <v>ORAFP 5 3/4 PERP</v>
      </c>
      <c r="H69" s="5" t="str" cm="1">
        <f t="array" ref="H69">_xll.BDP(bonds[[#This Row],[worksheet get]],bonds[[#Headers],[ticker]])</f>
        <v>ORAFP</v>
      </c>
      <c r="I69" s="5" cm="1">
        <f t="array" ref="I69">_xll.BDP(bonds[[#This Row],[worksheet get]],bonds[[#Headers],[coupon]])</f>
        <v>5.75</v>
      </c>
      <c r="J69" s="8" cm="1">
        <f t="array" ref="J69">_xll.BDP(bonds[[#This Row],[worksheet get]],bonds[[#Headers],[nxt_call_dt]])*1</f>
        <v>45017</v>
      </c>
      <c r="K69" s="9" t="str" cm="1">
        <f t="array" ref="K69">_xll.BDP(bonds[[#This Row],[worksheet get]],bonds[[#Headers],[mty_typ]])</f>
        <v>PERP/CALL</v>
      </c>
      <c r="L69" s="9" t="str" cm="1">
        <f t="array" ref="L69">_xll.BDP(bonds[[#This Row],[worksheet get]],bonds[[#Headers],[crncy]])</f>
        <v>GBP</v>
      </c>
      <c r="M69" s="10" cm="1">
        <f t="array" ref="M69">_xll.BDP(bonds[[#This Row],[worksheet get]],bonds[[#Headers],[amt_outstanding]])</f>
        <v>600000000</v>
      </c>
      <c r="N69" s="9" t="str" cm="1">
        <f t="array" ref="N69">_xll.BDP(bonds[[#This Row],[worksheet get]],bonds[[#Headers],[industry_sector]])</f>
        <v>Communications</v>
      </c>
      <c r="O69" s="9" t="str">
        <f>bonds[[#This Row],[security name]]&amp;" nc-"&amp;RIGHT(YEAR(bonds[[#This Row],[nxt_call_dt]]),2)</f>
        <v>ORAFP 5 3/4 PERP nc-23</v>
      </c>
      <c r="Q69" s="5" t="str">
        <v>WIEAV</v>
      </c>
      <c r="Z69" s="1" t="s">
        <v>303</v>
      </c>
      <c r="AA69" s="5" t="s">
        <v>229</v>
      </c>
    </row>
    <row r="70" spans="5:27" x14ac:dyDescent="0.25">
      <c r="E70" s="5" t="s">
        <v>304</v>
      </c>
      <c r="F70" s="5" t="str" cm="1">
        <f t="array" ref="F70">_xll.BDP(bonds[[#This Row],[worksheet get]],bonds[[#Headers],[ID_ISIN]])</f>
        <v>XS1490960942</v>
      </c>
      <c r="G70" s="5" t="str" cm="1">
        <f t="array" ref="G70">_xll.BDP(bonds[[#This Row],[worksheet get]],bonds[[#Headers],[security name]])</f>
        <v>TELEFO 3 3/4 PERP</v>
      </c>
      <c r="H70" s="5" t="str" cm="1">
        <f t="array" ref="H70">_xll.BDP(bonds[[#This Row],[worksheet get]],bonds[[#Headers],[ticker]])</f>
        <v>TELEFO</v>
      </c>
      <c r="I70" s="5" cm="1">
        <f t="array" ref="I70">_xll.BDP(bonds[[#This Row],[worksheet get]],bonds[[#Headers],[coupon]])</f>
        <v>3.75</v>
      </c>
      <c r="J70" s="8" cm="1">
        <f t="array" ref="J70">_xll.BDP(bonds[[#This Row],[worksheet get]],bonds[[#Headers],[nxt_call_dt]])*1</f>
        <v>44635</v>
      </c>
      <c r="K70" s="9" t="str" cm="1">
        <f t="array" ref="K70">_xll.BDP(bonds[[#This Row],[worksheet get]],bonds[[#Headers],[mty_typ]])</f>
        <v>PERP/CALL</v>
      </c>
      <c r="L70" s="9" t="str" cm="1">
        <f t="array" ref="L70">_xll.BDP(bonds[[#This Row],[worksheet get]],bonds[[#Headers],[crncy]])</f>
        <v>EUR</v>
      </c>
      <c r="M70" s="10" cm="1">
        <f t="array" ref="M70">_xll.BDP(bonds[[#This Row],[worksheet get]],bonds[[#Headers],[amt_outstanding]])</f>
        <v>1000000000</v>
      </c>
      <c r="N70" s="9" t="str" cm="1">
        <f t="array" ref="N70">_xll.BDP(bonds[[#This Row],[worksheet get]],bonds[[#Headers],[industry_sector]])</f>
        <v>Communications</v>
      </c>
      <c r="O70" s="9" t="str">
        <f>bonds[[#This Row],[security name]]&amp;" nc-"&amp;RIGHT(YEAR(bonds[[#This Row],[nxt_call_dt]]),2)</f>
        <v>TELEFO 3 3/4 PERP nc-22</v>
      </c>
      <c r="Q70" s="5" t="str">
        <v>TRAFIG</v>
      </c>
      <c r="Z70" s="1" t="s">
        <v>82</v>
      </c>
      <c r="AA70" s="1" t="s">
        <v>175</v>
      </c>
    </row>
    <row r="71" spans="5:27" x14ac:dyDescent="0.25">
      <c r="E71" s="5" t="s">
        <v>305</v>
      </c>
      <c r="F71" s="5" t="str" cm="1">
        <f t="array" ref="F71">_xll.BDP(bonds[[#This Row],[worksheet get]],bonds[[#Headers],[ID_ISIN]])</f>
        <v>XS1731823255</v>
      </c>
      <c r="G71" s="5" t="str" cm="1">
        <f t="array" ref="G71">_xll.BDP(bonds[[#This Row],[worksheet get]],bonds[[#Headers],[security name]])</f>
        <v>TELEFO 2 5/8 PERP</v>
      </c>
      <c r="H71" s="5" t="str" cm="1">
        <f t="array" ref="H71">_xll.BDP(bonds[[#This Row],[worksheet get]],bonds[[#Headers],[ticker]])</f>
        <v>TELEFO</v>
      </c>
      <c r="I71" s="5" cm="1">
        <f t="array" ref="I71">_xll.BDP(bonds[[#This Row],[worksheet get]],bonds[[#Headers],[coupon]])</f>
        <v>2.625</v>
      </c>
      <c r="J71" s="8" cm="1">
        <f t="array" ref="J71">_xll.BDP(bonds[[#This Row],[worksheet get]],bonds[[#Headers],[nxt_call_dt]])*1</f>
        <v>44992</v>
      </c>
      <c r="K71" s="9" t="str" cm="1">
        <f t="array" ref="K71">_xll.BDP(bonds[[#This Row],[worksheet get]],bonds[[#Headers],[mty_typ]])</f>
        <v>PERP/CALL</v>
      </c>
      <c r="L71" s="9" t="str" cm="1">
        <f t="array" ref="L71">_xll.BDP(bonds[[#This Row],[worksheet get]],bonds[[#Headers],[crncy]])</f>
        <v>EUR</v>
      </c>
      <c r="M71" s="10" cm="1">
        <f t="array" ref="M71">_xll.BDP(bonds[[#This Row],[worksheet get]],bonds[[#Headers],[amt_outstanding]])</f>
        <v>1000000000</v>
      </c>
      <c r="N71" s="9" t="str" cm="1">
        <f t="array" ref="N71">_xll.BDP(bonds[[#This Row],[worksheet get]],bonds[[#Headers],[industry_sector]])</f>
        <v>Communications</v>
      </c>
      <c r="O71" s="9" t="str">
        <f>bonds[[#This Row],[security name]]&amp;" nc-"&amp;RIGHT(YEAR(bonds[[#This Row],[nxt_call_dt]]),2)</f>
        <v>TELEFO 2 5/8 PERP nc-23</v>
      </c>
      <c r="Q71" s="5" t="str">
        <v>SOFTBK</v>
      </c>
    </row>
    <row r="72" spans="5:27" x14ac:dyDescent="0.25">
      <c r="E72" s="5" t="s">
        <v>125</v>
      </c>
      <c r="F72" s="5" t="str" cm="1">
        <f t="array" ref="F72">_xll.BDP(bonds[[#This Row],[worksheet get]],bonds[[#Headers],[ID_ISIN]])</f>
        <v>XS1795406575</v>
      </c>
      <c r="G72" s="5" t="str" cm="1">
        <f t="array" ref="G72">_xll.BDP(bonds[[#This Row],[worksheet get]],bonds[[#Headers],[security name]])</f>
        <v>TELEFO 3 PERP</v>
      </c>
      <c r="H72" s="5" t="str" cm="1">
        <f t="array" ref="H72">_xll.BDP(bonds[[#This Row],[worksheet get]],bonds[[#Headers],[ticker]])</f>
        <v>TELEFO</v>
      </c>
      <c r="I72" s="5" cm="1">
        <f t="array" ref="I72">_xll.BDP(bonds[[#This Row],[worksheet get]],bonds[[#Headers],[coupon]])</f>
        <v>3</v>
      </c>
      <c r="J72" s="8" cm="1">
        <f t="array" ref="J72">_xll.BDP(bonds[[#This Row],[worksheet get]],bonds[[#Headers],[nxt_call_dt]])*1</f>
        <v>45173</v>
      </c>
      <c r="K72" s="9" t="str" cm="1">
        <f t="array" ref="K72">_xll.BDP(bonds[[#This Row],[worksheet get]],bonds[[#Headers],[mty_typ]])</f>
        <v>PERP/CALL</v>
      </c>
      <c r="L72" s="9" t="str" cm="1">
        <f t="array" ref="L72">_xll.BDP(bonds[[#This Row],[worksheet get]],bonds[[#Headers],[crncy]])</f>
        <v>EUR</v>
      </c>
      <c r="M72" s="10" cm="1">
        <f t="array" ref="M72">_xll.BDP(bonds[[#This Row],[worksheet get]],bonds[[#Headers],[amt_outstanding]])</f>
        <v>1250000000</v>
      </c>
      <c r="N72" s="9" t="str" cm="1">
        <f t="array" ref="N72">_xll.BDP(bonds[[#This Row],[worksheet get]],bonds[[#Headers],[industry_sector]])</f>
        <v>Communications</v>
      </c>
      <c r="O72" s="9" t="str">
        <f>bonds[[#This Row],[security name]]&amp;" nc-"&amp;RIGHT(YEAR(bonds[[#This Row],[nxt_call_dt]]),2)</f>
        <v>TELEFO 3 PERP nc-23</v>
      </c>
    </row>
    <row r="73" spans="5:27" x14ac:dyDescent="0.25">
      <c r="E73" s="5" t="s">
        <v>306</v>
      </c>
      <c r="F73" s="5" t="str" cm="1">
        <f t="array" ref="F73">_xll.BDP(bonds[[#This Row],[worksheet get]],bonds[[#Headers],[ID_ISIN]])</f>
        <v>XS1050461034</v>
      </c>
      <c r="G73" s="5" t="str" cm="1">
        <f t="array" ref="G73">_xll.BDP(bonds[[#This Row],[worksheet get]],bonds[[#Headers],[security name]])</f>
        <v>TELEFO 5 7/8 PERP</v>
      </c>
      <c r="H73" s="5" t="str" cm="1">
        <f t="array" ref="H73">_xll.BDP(bonds[[#This Row],[worksheet get]],bonds[[#Headers],[ticker]])</f>
        <v>TELEFO</v>
      </c>
      <c r="I73" s="5" cm="1">
        <f t="array" ref="I73">_xll.BDP(bonds[[#This Row],[worksheet get]],bonds[[#Headers],[coupon]])</f>
        <v>5.875</v>
      </c>
      <c r="J73" s="8" cm="1">
        <f t="array" ref="J73">_xll.BDP(bonds[[#This Row],[worksheet get]],bonds[[#Headers],[nxt_call_dt]])*1</f>
        <v>45382</v>
      </c>
      <c r="K73" s="9" t="str" cm="1">
        <f t="array" ref="K73">_xll.BDP(bonds[[#This Row],[worksheet get]],bonds[[#Headers],[mty_typ]])</f>
        <v>PERP/CALL</v>
      </c>
      <c r="L73" s="9" t="str" cm="1">
        <f t="array" ref="L73">_xll.BDP(bonds[[#This Row],[worksheet get]],bonds[[#Headers],[crncy]])</f>
        <v>EUR</v>
      </c>
      <c r="M73" s="10" cm="1">
        <f t="array" ref="M73">_xll.BDP(bonds[[#This Row],[worksheet get]],bonds[[#Headers],[amt_outstanding]])</f>
        <v>1000000000</v>
      </c>
      <c r="N73" s="9" t="str" cm="1">
        <f t="array" ref="N73">_xll.BDP(bonds[[#This Row],[worksheet get]],bonds[[#Headers],[industry_sector]])</f>
        <v>Communications</v>
      </c>
      <c r="O73" s="9" t="str">
        <f>bonds[[#This Row],[security name]]&amp;" nc-"&amp;RIGHT(YEAR(bonds[[#This Row],[nxt_call_dt]]),2)</f>
        <v>TELEFO 5 7/8 PERP nc-24</v>
      </c>
    </row>
    <row r="74" spans="5:27" x14ac:dyDescent="0.25">
      <c r="E74" s="5" t="s">
        <v>307</v>
      </c>
      <c r="F74" s="5" t="str" cm="1">
        <f t="array" ref="F74">_xll.BDP(bonds[[#This Row],[worksheet get]],bonds[[#Headers],[ID_ISIN]])</f>
        <v>XS1933828433</v>
      </c>
      <c r="G74" s="5" t="str" cm="1">
        <f t="array" ref="G74">_xll.BDP(bonds[[#This Row],[worksheet get]],bonds[[#Headers],[security name]])</f>
        <v>TELEFO 4 3/8 PERP</v>
      </c>
      <c r="H74" s="5" t="str" cm="1">
        <f t="array" ref="H74">_xll.BDP(bonds[[#This Row],[worksheet get]],bonds[[#Headers],[ticker]])</f>
        <v>TELEFO</v>
      </c>
      <c r="I74" s="5" cm="1">
        <f t="array" ref="I74">_xll.BDP(bonds[[#This Row],[worksheet get]],bonds[[#Headers],[coupon]])</f>
        <v>4.375</v>
      </c>
      <c r="J74" s="8" cm="1">
        <f t="array" ref="J74">_xll.BDP(bonds[[#This Row],[worksheet get]],bonds[[#Headers],[nxt_call_dt]])*1</f>
        <v>45640</v>
      </c>
      <c r="K74" s="9" t="str" cm="1">
        <f t="array" ref="K74">_xll.BDP(bonds[[#This Row],[worksheet get]],bonds[[#Headers],[mty_typ]])</f>
        <v>PERP/CALL</v>
      </c>
      <c r="L74" s="9" t="str" cm="1">
        <f t="array" ref="L74">_xll.BDP(bonds[[#This Row],[worksheet get]],bonds[[#Headers],[crncy]])</f>
        <v>EUR</v>
      </c>
      <c r="M74" s="10" cm="1">
        <f t="array" ref="M74">_xll.BDP(bonds[[#This Row],[worksheet get]],bonds[[#Headers],[amt_outstanding]])</f>
        <v>1300000000</v>
      </c>
      <c r="N74" s="9" t="str" cm="1">
        <f t="array" ref="N74">_xll.BDP(bonds[[#This Row],[worksheet get]],bonds[[#Headers],[industry_sector]])</f>
        <v>Communications</v>
      </c>
      <c r="O74" s="9" t="str">
        <f>bonds[[#This Row],[security name]]&amp;" nc-"&amp;RIGHT(YEAR(bonds[[#This Row],[nxt_call_dt]]),2)</f>
        <v>TELEFO 4 3/8 PERP nc-24</v>
      </c>
    </row>
    <row r="75" spans="5:27" x14ac:dyDescent="0.25">
      <c r="E75" s="5" t="s">
        <v>308</v>
      </c>
      <c r="F75" s="5" t="str" cm="1">
        <f t="array" ref="F75">_xll.BDP(bonds[[#This Row],[worksheet get]],bonds[[#Headers],[ID_ISIN]])</f>
        <v>XS1795406658</v>
      </c>
      <c r="G75" s="5" t="str" cm="1">
        <f t="array" ref="G75">_xll.BDP(bonds[[#This Row],[worksheet get]],bonds[[#Headers],[security name]])</f>
        <v>TELEFO 3 7/8 PERP</v>
      </c>
      <c r="H75" s="5" t="str" cm="1">
        <f t="array" ref="H75">_xll.BDP(bonds[[#This Row],[worksheet get]],bonds[[#Headers],[ticker]])</f>
        <v>TELEFO</v>
      </c>
      <c r="I75" s="5" cm="1">
        <f t="array" ref="I75">_xll.BDP(bonds[[#This Row],[worksheet get]],bonds[[#Headers],[coupon]])</f>
        <v>3.875</v>
      </c>
      <c r="J75" s="8" cm="1">
        <f t="array" ref="J75">_xll.BDP(bonds[[#This Row],[worksheet get]],bonds[[#Headers],[nxt_call_dt]])*1</f>
        <v>46195</v>
      </c>
      <c r="K75" s="9" t="str" cm="1">
        <f t="array" ref="K75">_xll.BDP(bonds[[#This Row],[worksheet get]],bonds[[#Headers],[mty_typ]])</f>
        <v>PERP/CALL</v>
      </c>
      <c r="L75" s="9" t="str" cm="1">
        <f t="array" ref="L75">_xll.BDP(bonds[[#This Row],[worksheet get]],bonds[[#Headers],[crncy]])</f>
        <v>EUR</v>
      </c>
      <c r="M75" s="10" cm="1">
        <f t="array" ref="M75">_xll.BDP(bonds[[#This Row],[worksheet get]],bonds[[#Headers],[amt_outstanding]])</f>
        <v>1000000000</v>
      </c>
      <c r="N75" s="9" t="str" cm="1">
        <f t="array" ref="N75">_xll.BDP(bonds[[#This Row],[worksheet get]],bonds[[#Headers],[industry_sector]])</f>
        <v>Communications</v>
      </c>
      <c r="O75" s="9" t="str">
        <f>bonds[[#This Row],[security name]]&amp;" nc-"&amp;RIGHT(YEAR(bonds[[#This Row],[nxt_call_dt]]),2)</f>
        <v>TELEFO 3 7/8 PERP nc-26</v>
      </c>
    </row>
    <row r="76" spans="5:27" x14ac:dyDescent="0.25">
      <c r="E76" s="5" t="s">
        <v>309</v>
      </c>
      <c r="F76" s="5" t="str" cm="1">
        <f t="array" ref="F76">_xll.BDP(bonds[[#This Row],[worksheet get]],bonds[[#Headers],[ID_ISIN]])</f>
        <v>XS2109819859</v>
      </c>
      <c r="G76" s="5" t="str" cm="1">
        <f t="array" ref="G76">_xll.BDP(bonds[[#This Row],[worksheet get]],bonds[[#Headers],[security name]])</f>
        <v>TELEFO 2.502 PERP</v>
      </c>
      <c r="H76" s="5" t="str" cm="1">
        <f t="array" ref="H76">_xll.BDP(bonds[[#This Row],[worksheet get]],bonds[[#Headers],[ticker]])</f>
        <v>TELEFO</v>
      </c>
      <c r="I76" s="5" cm="1">
        <f t="array" ref="I76">_xll.BDP(bonds[[#This Row],[worksheet get]],bonds[[#Headers],[coupon]])</f>
        <v>2.5019999999999998</v>
      </c>
      <c r="J76" s="8" cm="1">
        <f t="array" ref="J76">_xll.BDP(bonds[[#This Row],[worksheet get]],bonds[[#Headers],[nxt_call_dt]])*1</f>
        <v>46423</v>
      </c>
      <c r="K76" s="9" t="str" cm="1">
        <f t="array" ref="K76">_xll.BDP(bonds[[#This Row],[worksheet get]],bonds[[#Headers],[mty_typ]])</f>
        <v>PERP/CALL</v>
      </c>
      <c r="L76" s="9" t="str" cm="1">
        <f t="array" ref="L76">_xll.BDP(bonds[[#This Row],[worksheet get]],bonds[[#Headers],[crncy]])</f>
        <v>EUR</v>
      </c>
      <c r="M76" s="10" cm="1">
        <f t="array" ref="M76">_xll.BDP(bonds[[#This Row],[worksheet get]],bonds[[#Headers],[amt_outstanding]])</f>
        <v>500000000</v>
      </c>
      <c r="N76" s="9" t="str" cm="1">
        <f t="array" ref="N76">_xll.BDP(bonds[[#This Row],[worksheet get]],bonds[[#Headers],[industry_sector]])</f>
        <v>Communications</v>
      </c>
      <c r="O76" s="9" t="str">
        <f>bonds[[#This Row],[security name]]&amp;" nc-"&amp;RIGHT(YEAR(bonds[[#This Row],[nxt_call_dt]]),2)</f>
        <v>TELEFO 2.502 PERP nc-27</v>
      </c>
    </row>
    <row r="77" spans="5:27" x14ac:dyDescent="0.25">
      <c r="E77" s="5" t="s">
        <v>126</v>
      </c>
      <c r="F77" s="5" t="str" cm="1">
        <f t="array" ref="F77">_xll.BDP(bonds[[#This Row],[worksheet get]],bonds[[#Headers],[ID_ISIN]])</f>
        <v>XS2056371334</v>
      </c>
      <c r="G77" s="5" t="str" cm="1">
        <f t="array" ref="G77">_xll.BDP(bonds[[#This Row],[worksheet get]],bonds[[#Headers],[security name]])</f>
        <v>TELEFO 2 7/8 PERP</v>
      </c>
      <c r="H77" s="5" t="str" cm="1">
        <f t="array" ref="H77">_xll.BDP(bonds[[#This Row],[worksheet get]],bonds[[#Headers],[ticker]])</f>
        <v>TELEFO</v>
      </c>
      <c r="I77" s="5" cm="1">
        <f t="array" ref="I77">_xll.BDP(bonds[[#This Row],[worksheet get]],bonds[[#Headers],[coupon]])</f>
        <v>2.875</v>
      </c>
      <c r="J77" s="8" cm="1">
        <f t="array" ref="J77">_xll.BDP(bonds[[#This Row],[worksheet get]],bonds[[#Headers],[nxt_call_dt]])*1</f>
        <v>46562</v>
      </c>
      <c r="K77" s="9" t="str" cm="1">
        <f t="array" ref="K77">_xll.BDP(bonds[[#This Row],[worksheet get]],bonds[[#Headers],[mty_typ]])</f>
        <v>PERP/CALL</v>
      </c>
      <c r="L77" s="9" t="str" cm="1">
        <f t="array" ref="L77">_xll.BDP(bonds[[#This Row],[worksheet get]],bonds[[#Headers],[crncy]])</f>
        <v>EUR</v>
      </c>
      <c r="M77" s="10" cm="1">
        <f t="array" ref="M77">_xll.BDP(bonds[[#This Row],[worksheet get]],bonds[[#Headers],[amt_outstanding]])</f>
        <v>500000000</v>
      </c>
      <c r="N77" s="9" t="str" cm="1">
        <f t="array" ref="N77">_xll.BDP(bonds[[#This Row],[worksheet get]],bonds[[#Headers],[industry_sector]])</f>
        <v>Communications</v>
      </c>
      <c r="O77" s="9" t="str">
        <f>bonds[[#This Row],[security name]]&amp;" nc-"&amp;RIGHT(YEAR(bonds[[#This Row],[nxt_call_dt]]),2)</f>
        <v>TELEFO 2 7/8 PERP nc-27</v>
      </c>
    </row>
    <row r="78" spans="5:27" x14ac:dyDescent="0.25">
      <c r="E78" s="5" t="s">
        <v>128</v>
      </c>
      <c r="F78" s="5" t="str" cm="1">
        <f t="array" ref="F78">_xll.BDP(bonds[[#This Row],[worksheet get]],bonds[[#Headers],[ID_ISIN]])</f>
        <v>XS1888179477</v>
      </c>
      <c r="G78" s="5" t="str" cm="1">
        <f t="array" ref="G78">_xll.BDP(bonds[[#This Row],[worksheet get]],bonds[[#Headers],[security name]])</f>
        <v>VOD 3.1 01/03/79</v>
      </c>
      <c r="H78" s="5" t="str" cm="1">
        <f t="array" ref="H78">_xll.BDP(bonds[[#This Row],[worksheet get]],bonds[[#Headers],[ticker]])</f>
        <v>VOD</v>
      </c>
      <c r="I78" s="5" cm="1">
        <f t="array" ref="I78">_xll.BDP(bonds[[#This Row],[worksheet get]],bonds[[#Headers],[coupon]])</f>
        <v>3.1</v>
      </c>
      <c r="J78" s="8" cm="1">
        <f t="array" ref="J78">_xll.BDP(bonds[[#This Row],[worksheet get]],bonds[[#Headers],[nxt_call_dt]])*1</f>
        <v>45202</v>
      </c>
      <c r="K78" s="9" t="str" cm="1">
        <f t="array" ref="K78">_xll.BDP(bonds[[#This Row],[worksheet get]],bonds[[#Headers],[mty_typ]])</f>
        <v>CALLABLE</v>
      </c>
      <c r="L78" s="9" t="str" cm="1">
        <f t="array" ref="L78">_xll.BDP(bonds[[#This Row],[worksheet get]],bonds[[#Headers],[crncy]])</f>
        <v>EUR</v>
      </c>
      <c r="M78" s="10" cm="1">
        <f t="array" ref="M78">_xll.BDP(bonds[[#This Row],[worksheet get]],bonds[[#Headers],[amt_outstanding]])</f>
        <v>2000000000</v>
      </c>
      <c r="N78" s="9" t="str" cm="1">
        <f t="array" ref="N78">_xll.BDP(bonds[[#This Row],[worksheet get]],bonds[[#Headers],[industry_sector]])</f>
        <v>Communications</v>
      </c>
      <c r="O78" s="9" t="str">
        <f>bonds[[#This Row],[security name]]&amp;" nc-"&amp;RIGHT(YEAR(bonds[[#This Row],[nxt_call_dt]]),2)</f>
        <v>VOD 3.1 01/03/79 nc-23</v>
      </c>
    </row>
    <row r="79" spans="5:27" x14ac:dyDescent="0.25">
      <c r="E79" s="5" t="s">
        <v>129</v>
      </c>
      <c r="F79" s="5" t="str" cm="1">
        <f t="array" ref="F79">_xll.BDP(bonds[[#This Row],[worksheet get]],bonds[[#Headers],[ID_ISIN]])</f>
        <v>XS1888179550</v>
      </c>
      <c r="G79" s="5" t="str" cm="1">
        <f t="array" ref="G79">_xll.BDP(bonds[[#This Row],[worksheet get]],bonds[[#Headers],[security name]])</f>
        <v>VOD 4.2 10/03/78</v>
      </c>
      <c r="H79" s="5" t="str" cm="1">
        <f t="array" ref="H79">_xll.BDP(bonds[[#This Row],[worksheet get]],bonds[[#Headers],[ticker]])</f>
        <v>VOD</v>
      </c>
      <c r="I79" s="5" cm="1">
        <f t="array" ref="I79">_xll.BDP(bonds[[#This Row],[worksheet get]],bonds[[#Headers],[coupon]])</f>
        <v>4.2</v>
      </c>
      <c r="J79" s="8" cm="1">
        <f t="array" ref="J79">_xll.BDP(bonds[[#This Row],[worksheet get]],bonds[[#Headers],[nxt_call_dt]])*1</f>
        <v>46937</v>
      </c>
      <c r="K79" s="9" t="str" cm="1">
        <f t="array" ref="K79">_xll.BDP(bonds[[#This Row],[worksheet get]],bonds[[#Headers],[mty_typ]])</f>
        <v>CALLABLE</v>
      </c>
      <c r="L79" s="9" t="str" cm="1">
        <f t="array" ref="L79">_xll.BDP(bonds[[#This Row],[worksheet get]],bonds[[#Headers],[crncy]])</f>
        <v>EUR</v>
      </c>
      <c r="M79" s="10" cm="1">
        <f t="array" ref="M79">_xll.BDP(bonds[[#This Row],[worksheet get]],bonds[[#Headers],[amt_outstanding]])</f>
        <v>500000000</v>
      </c>
      <c r="N79" s="9" t="str" cm="1">
        <f t="array" ref="N79">_xll.BDP(bonds[[#This Row],[worksheet get]],bonds[[#Headers],[industry_sector]])</f>
        <v>Communications</v>
      </c>
      <c r="O79" s="9" t="str">
        <f>bonds[[#This Row],[security name]]&amp;" nc-"&amp;RIGHT(YEAR(bonds[[#This Row],[nxt_call_dt]]),2)</f>
        <v>VOD 4.2 10/03/78 nc-28</v>
      </c>
    </row>
    <row r="80" spans="5:27" x14ac:dyDescent="0.25">
      <c r="E80" s="5" t="s">
        <v>310</v>
      </c>
      <c r="F80" s="5" t="str" cm="1">
        <f t="array" ref="F80">_xll.BDP(bonds[[#This Row],[worksheet get]],bonds[[#Headers],[ID_ISIN]])</f>
        <v>XS1888180996</v>
      </c>
      <c r="G80" s="5" t="str" cm="1">
        <f t="array" ref="G80">_xll.BDP(bonds[[#This Row],[worksheet get]],bonds[[#Headers],[security name]])</f>
        <v>VOD 4 7/8 10/03/78</v>
      </c>
      <c r="H80" s="5" t="str" cm="1">
        <f t="array" ref="H80">_xll.BDP(bonds[[#This Row],[worksheet get]],bonds[[#Headers],[ticker]])</f>
        <v>VOD</v>
      </c>
      <c r="I80" s="5" cm="1">
        <f t="array" ref="I80">_xll.BDP(bonds[[#This Row],[worksheet get]],bonds[[#Headers],[coupon]])</f>
        <v>4.875</v>
      </c>
      <c r="J80" s="8" cm="1">
        <f t="array" ref="J80">_xll.BDP(bonds[[#This Row],[worksheet get]],bonds[[#Headers],[nxt_call_dt]])*1</f>
        <v>45841</v>
      </c>
      <c r="K80" s="9" t="str" cm="1">
        <f t="array" ref="K80">_xll.BDP(bonds[[#This Row],[worksheet get]],bonds[[#Headers],[mty_typ]])</f>
        <v>CALLABLE</v>
      </c>
      <c r="L80" s="9" t="str" cm="1">
        <f t="array" ref="L80">_xll.BDP(bonds[[#This Row],[worksheet get]],bonds[[#Headers],[crncy]])</f>
        <v>GBP</v>
      </c>
      <c r="M80" s="10" cm="1">
        <f t="array" ref="M80">_xll.BDP(bonds[[#This Row],[worksheet get]],bonds[[#Headers],[amt_outstanding]])</f>
        <v>500000000</v>
      </c>
      <c r="N80" s="9" t="str" cm="1">
        <f t="array" ref="N80">_xll.BDP(bonds[[#This Row],[worksheet get]],bonds[[#Headers],[industry_sector]])</f>
        <v>Communications</v>
      </c>
      <c r="O80" s="9" t="str">
        <f>bonds[[#This Row],[security name]]&amp;" nc-"&amp;RIGHT(YEAR(bonds[[#This Row],[nxt_call_dt]]),2)</f>
        <v>VOD 4 7/8 10/03/78 nc-25</v>
      </c>
    </row>
    <row r="81" spans="5:15" x14ac:dyDescent="0.25">
      <c r="E81" s="5" t="s">
        <v>311</v>
      </c>
      <c r="F81" s="5" t="str" cm="1">
        <f t="array" ref="F81">_xll.BDP(bonds[[#This Row],[worksheet get]],bonds[[#Headers],[ID_ISIN]])</f>
        <v>XS1888180640</v>
      </c>
      <c r="G81" s="5" t="str" cm="1">
        <f t="array" ref="G81">_xll.BDP(bonds[[#This Row],[worksheet get]],bonds[[#Headers],[security name]])</f>
        <v>VOD 6 1/4 10/03/78</v>
      </c>
      <c r="H81" s="5" t="str" cm="1">
        <f t="array" ref="H81">_xll.BDP(bonds[[#This Row],[worksheet get]],bonds[[#Headers],[ticker]])</f>
        <v>VOD</v>
      </c>
      <c r="I81" s="5" cm="1">
        <f t="array" ref="I81">_xll.BDP(bonds[[#This Row],[worksheet get]],bonds[[#Headers],[coupon]])</f>
        <v>6.25</v>
      </c>
      <c r="J81" s="8" cm="1">
        <f t="array" ref="J81">_xll.BDP(bonds[[#This Row],[worksheet get]],bonds[[#Headers],[nxt_call_dt]])*1</f>
        <v>45476</v>
      </c>
      <c r="K81" s="9" t="str" cm="1">
        <f t="array" ref="K81">_xll.BDP(bonds[[#This Row],[worksheet get]],bonds[[#Headers],[mty_typ]])</f>
        <v>CALLABLE</v>
      </c>
      <c r="L81" s="9" t="str" cm="1">
        <f t="array" ref="L81">_xll.BDP(bonds[[#This Row],[worksheet get]],bonds[[#Headers],[crncy]])</f>
        <v>USD</v>
      </c>
      <c r="M81" s="10" cm="1">
        <f t="array" ref="M81">_xll.BDP(bonds[[#This Row],[worksheet get]],bonds[[#Headers],[amt_outstanding]])</f>
        <v>1300000000</v>
      </c>
      <c r="N81" s="9" t="str" cm="1">
        <f t="array" ref="N81">_xll.BDP(bonds[[#This Row],[worksheet get]],bonds[[#Headers],[industry_sector]])</f>
        <v>Communications</v>
      </c>
      <c r="O81" s="9" t="str">
        <f>bonds[[#This Row],[security name]]&amp;" nc-"&amp;RIGHT(YEAR(bonds[[#This Row],[nxt_call_dt]]),2)</f>
        <v>VOD 6 1/4 10/03/78 nc-24</v>
      </c>
    </row>
    <row r="82" spans="5:15" x14ac:dyDescent="0.25">
      <c r="E82" s="5" t="s">
        <v>312</v>
      </c>
      <c r="F82" s="5" t="str" cm="1">
        <f t="array" ref="F82">_xll.BDP(bonds[[#This Row],[worksheet get]],bonds[[#Headers],[ID_ISIN]])</f>
        <v>US92857WBQ24</v>
      </c>
      <c r="G82" s="5" t="str" cm="1">
        <f t="array" ref="G82">_xll.BDP(bonds[[#This Row],[worksheet get]],bonds[[#Headers],[security name]])</f>
        <v>VOD 7 04/04/79</v>
      </c>
      <c r="H82" s="5" t="str" cm="1">
        <f t="array" ref="H82">_xll.BDP(bonds[[#This Row],[worksheet get]],bonds[[#Headers],[ticker]])</f>
        <v>VOD</v>
      </c>
      <c r="I82" s="5" cm="1">
        <f t="array" ref="I82">_xll.BDP(bonds[[#This Row],[worksheet get]],bonds[[#Headers],[coupon]])</f>
        <v>7</v>
      </c>
      <c r="J82" s="8" cm="1">
        <f t="array" ref="J82">_xll.BDP(bonds[[#This Row],[worksheet get]],bonds[[#Headers],[nxt_call_dt]])*1</f>
        <v>47122</v>
      </c>
      <c r="K82" s="9" t="str" cm="1">
        <f t="array" ref="K82">_xll.BDP(bonds[[#This Row],[worksheet get]],bonds[[#Headers],[mty_typ]])</f>
        <v>CALLABLE</v>
      </c>
      <c r="L82" s="9" t="str" cm="1">
        <f t="array" ref="L82">_xll.BDP(bonds[[#This Row],[worksheet get]],bonds[[#Headers],[crncy]])</f>
        <v>USD</v>
      </c>
      <c r="M82" s="10" cm="1">
        <f t="array" ref="M82">_xll.BDP(bonds[[#This Row],[worksheet get]],bonds[[#Headers],[amt_outstanding]])</f>
        <v>2000000000</v>
      </c>
      <c r="N82" s="9" t="str" cm="1">
        <f t="array" ref="N82">_xll.BDP(bonds[[#This Row],[worksheet get]],bonds[[#Headers],[industry_sector]])</f>
        <v>Communications</v>
      </c>
      <c r="O82" s="9" t="str">
        <f>bonds[[#This Row],[security name]]&amp;" nc-"&amp;RIGHT(YEAR(bonds[[#This Row],[nxt_call_dt]]),2)</f>
        <v>VOD 7 04/04/79 nc-29</v>
      </c>
    </row>
    <row r="83" spans="5:15" x14ac:dyDescent="0.25">
      <c r="E83" s="5" t="s">
        <v>313</v>
      </c>
      <c r="F83" s="5" t="str" cm="1">
        <f t="array" ref="F83">_xll.BDP(bonds[[#This Row],[worksheet get]],bonds[[#Headers],[ID_ISIN]])</f>
        <v>XS2119468572</v>
      </c>
      <c r="G83" s="5" t="str" cm="1">
        <f t="array" ref="G83">_xll.BDP(bonds[[#This Row],[worksheet get]],bonds[[#Headers],[security name]])</f>
        <v>BRITEL 1.874 08/18/80</v>
      </c>
      <c r="H83" s="5" t="str" cm="1">
        <f t="array" ref="H83">_xll.BDP(bonds[[#This Row],[worksheet get]],bonds[[#Headers],[ticker]])</f>
        <v>BRITEL</v>
      </c>
      <c r="I83" s="5" cm="1">
        <f t="array" ref="I83">_xll.BDP(bonds[[#This Row],[worksheet get]],bonds[[#Headers],[coupon]])</f>
        <v>1.8740000000000001</v>
      </c>
      <c r="J83" s="8" cm="1">
        <f t="array" ref="J83">_xll.BDP(bonds[[#This Row],[worksheet get]],bonds[[#Headers],[nxt_call_dt]])*1</f>
        <v>45795</v>
      </c>
      <c r="K83" s="9" t="str" cm="1">
        <f t="array" ref="K83">_xll.BDP(bonds[[#This Row],[worksheet get]],bonds[[#Headers],[mty_typ]])</f>
        <v>CALLABLE</v>
      </c>
      <c r="L83" s="9" t="str" cm="1">
        <f t="array" ref="L83">_xll.BDP(bonds[[#This Row],[worksheet get]],bonds[[#Headers],[crncy]])</f>
        <v>EUR</v>
      </c>
      <c r="M83" s="10" cm="1">
        <f t="array" ref="M83">_xll.BDP(bonds[[#This Row],[worksheet get]],bonds[[#Headers],[amt_outstanding]])</f>
        <v>500000000</v>
      </c>
      <c r="N83" s="9" t="str" cm="1">
        <f t="array" ref="N83">_xll.BDP(bonds[[#This Row],[worksheet get]],bonds[[#Headers],[industry_sector]])</f>
        <v>Communications</v>
      </c>
      <c r="O83" s="9" t="str">
        <f>bonds[[#This Row],[security name]]&amp;" nc-"&amp;RIGHT(YEAR(bonds[[#This Row],[nxt_call_dt]]),2)</f>
        <v>BRITEL 1.874 08/18/80 nc-25</v>
      </c>
    </row>
    <row r="84" spans="5:15" x14ac:dyDescent="0.25">
      <c r="E84" s="5" t="s">
        <v>104</v>
      </c>
      <c r="F84" s="5" t="str" cm="1">
        <f t="array" ref="F84">_xll.BDP(bonds[[#This Row],[worksheet get]],bonds[[#Headers],[ID_ISIN]])</f>
        <v>XS2056730323</v>
      </c>
      <c r="G84" s="5" t="str" cm="1">
        <f t="array" ref="G84">_xll.BDP(bonds[[#This Row],[worksheet get]],bonds[[#Headers],[security name]])</f>
        <v>IFXGR 2 7/8 PERP</v>
      </c>
      <c r="H84" s="5" t="str" cm="1">
        <f t="array" ref="H84">_xll.BDP(bonds[[#This Row],[worksheet get]],bonds[[#Headers],[ticker]])</f>
        <v>IFXGR</v>
      </c>
      <c r="I84" s="5" cm="1">
        <f t="array" ref="I84">_xll.BDP(bonds[[#This Row],[worksheet get]],bonds[[#Headers],[coupon]])</f>
        <v>2.875</v>
      </c>
      <c r="J84" s="8" cm="1">
        <f t="array" ref="J84">_xll.BDP(bonds[[#This Row],[worksheet get]],bonds[[#Headers],[nxt_call_dt]])*1</f>
        <v>45658</v>
      </c>
      <c r="K84" s="9" t="str" cm="1">
        <f t="array" ref="K84">_xll.BDP(bonds[[#This Row],[worksheet get]],bonds[[#Headers],[mty_typ]])</f>
        <v>PERP/CALL</v>
      </c>
      <c r="L84" s="9" t="str" cm="1">
        <f t="array" ref="L84">_xll.BDP(bonds[[#This Row],[worksheet get]],bonds[[#Headers],[crncy]])</f>
        <v>EUR</v>
      </c>
      <c r="M84" s="10" cm="1">
        <f t="array" ref="M84">_xll.BDP(bonds[[#This Row],[worksheet get]],bonds[[#Headers],[amt_outstanding]])</f>
        <v>600000000</v>
      </c>
      <c r="N84" s="9" t="str" cm="1">
        <f t="array" ref="N84">_xll.BDP(bonds[[#This Row],[worksheet get]],bonds[[#Headers],[industry_sector]])</f>
        <v>Technology</v>
      </c>
      <c r="O84" s="9" t="str">
        <f>bonds[[#This Row],[security name]]&amp;" nc-"&amp;RIGHT(YEAR(bonds[[#This Row],[nxt_call_dt]]),2)</f>
        <v>IFXGR 2 7/8 PERP nc-25</v>
      </c>
    </row>
    <row r="85" spans="5:15" x14ac:dyDescent="0.25">
      <c r="E85" s="5" t="s">
        <v>105</v>
      </c>
      <c r="F85" s="5" t="str" cm="1">
        <f t="array" ref="F85">_xll.BDP(bonds[[#This Row],[worksheet get]],bonds[[#Headers],[ID_ISIN]])</f>
        <v>XS2056730679</v>
      </c>
      <c r="G85" s="5" t="str" cm="1">
        <f t="array" ref="G85">_xll.BDP(bonds[[#This Row],[worksheet get]],bonds[[#Headers],[security name]])</f>
        <v>IFXGR 3 5/8 PERP</v>
      </c>
      <c r="H85" s="5" t="str" cm="1">
        <f t="array" ref="H85">_xll.BDP(bonds[[#This Row],[worksheet get]],bonds[[#Headers],[ticker]])</f>
        <v>IFXGR</v>
      </c>
      <c r="I85" s="5" cm="1">
        <f t="array" ref="I85">_xll.BDP(bonds[[#This Row],[worksheet get]],bonds[[#Headers],[coupon]])</f>
        <v>3.625</v>
      </c>
      <c r="J85" s="8" cm="1">
        <f t="array" ref="J85">_xll.BDP(bonds[[#This Row],[worksheet get]],bonds[[#Headers],[nxt_call_dt]])*1</f>
        <v>46753</v>
      </c>
      <c r="K85" s="9" t="str" cm="1">
        <f t="array" ref="K85">_xll.BDP(bonds[[#This Row],[worksheet get]],bonds[[#Headers],[mty_typ]])</f>
        <v>PERP/CALL</v>
      </c>
      <c r="L85" s="9" t="str" cm="1">
        <f t="array" ref="L85">_xll.BDP(bonds[[#This Row],[worksheet get]],bonds[[#Headers],[crncy]])</f>
        <v>EUR</v>
      </c>
      <c r="M85" s="10" cm="1">
        <f t="array" ref="M85">_xll.BDP(bonds[[#This Row],[worksheet get]],bonds[[#Headers],[amt_outstanding]])</f>
        <v>600000000</v>
      </c>
      <c r="N85" s="9" t="str" cm="1">
        <f t="array" ref="N85">_xll.BDP(bonds[[#This Row],[worksheet get]],bonds[[#Headers],[industry_sector]])</f>
        <v>Technology</v>
      </c>
      <c r="O85" s="9" t="str">
        <f>bonds[[#This Row],[security name]]&amp;" nc-"&amp;RIGHT(YEAR(bonds[[#This Row],[nxt_call_dt]]),2)</f>
        <v>IFXGR 3 5/8 PERP nc-28</v>
      </c>
    </row>
    <row r="86" spans="5:15" x14ac:dyDescent="0.25">
      <c r="E86" s="5" t="s">
        <v>314</v>
      </c>
      <c r="F86" s="5" t="str" cm="1">
        <f t="array" ref="F86">_xll.BDP(bonds[[#This Row],[worksheet get]],bonds[[#Headers],[ID_ISIN]])</f>
        <v>XS2114413565</v>
      </c>
      <c r="G86" s="5" t="str" cm="1">
        <f t="array" ref="G86">_xll.BDP(bonds[[#This Row],[worksheet get]],bonds[[#Headers],[security name]])</f>
        <v>T 2 7/8 PERP</v>
      </c>
      <c r="H86" s="5" t="str" cm="1">
        <f t="array" ref="H86">_xll.BDP(bonds[[#This Row],[worksheet get]],bonds[[#Headers],[ticker]])</f>
        <v>T</v>
      </c>
      <c r="I86" s="5" cm="1">
        <f t="array" ref="I86">_xll.BDP(bonds[[#This Row],[worksheet get]],bonds[[#Headers],[coupon]])</f>
        <v>2.875</v>
      </c>
      <c r="J86" s="8" cm="1">
        <f t="array" ref="J86">_xll.BDP(bonds[[#This Row],[worksheet get]],bonds[[#Headers],[nxt_call_dt]])*1</f>
        <v>45718</v>
      </c>
      <c r="K86" s="9" t="str" cm="1">
        <f t="array" ref="K86">_xll.BDP(bonds[[#This Row],[worksheet get]],bonds[[#Headers],[mty_typ]])</f>
        <v>PERP/CALL</v>
      </c>
      <c r="L86" s="9" t="str" cm="1">
        <f t="array" ref="L86">_xll.BDP(bonds[[#This Row],[worksheet get]],bonds[[#Headers],[crncy]])</f>
        <v>EUR</v>
      </c>
      <c r="M86" s="10" cm="1">
        <f t="array" ref="M86">_xll.BDP(bonds[[#This Row],[worksheet get]],bonds[[#Headers],[amt_outstanding]])</f>
        <v>2000000000</v>
      </c>
      <c r="N86" s="9" t="str" cm="1">
        <f t="array" ref="N86">_xll.BDP(bonds[[#This Row],[worksheet get]],bonds[[#Headers],[industry_sector]])</f>
        <v>Communications</v>
      </c>
      <c r="O86" s="9" t="str">
        <f>bonds[[#This Row],[security name]]&amp;" nc-"&amp;RIGHT(YEAR(bonds[[#This Row],[nxt_call_dt]]),2)</f>
        <v>T 2 7/8 PERP nc-25</v>
      </c>
    </row>
    <row r="87" spans="5:15" x14ac:dyDescent="0.25">
      <c r="E87" s="5" t="s">
        <v>315</v>
      </c>
      <c r="F87" s="5" t="str" cm="1">
        <f t="array" ref="F87">_xll.BDP(bonds[[#This Row],[worksheet get]],bonds[[#Headers],[ID_ISIN]])</f>
        <v>FR0011531730</v>
      </c>
      <c r="G87" s="5" t="str" cm="1">
        <f t="array" ref="G87">_xll.BDP(bonds[[#This Row],[worksheet get]],bonds[[#Headers],[security name]])</f>
        <v>ENGIFP 4 3/4 PERP</v>
      </c>
      <c r="H87" s="5" t="str" cm="1">
        <f t="array" ref="H87">_xll.BDP(bonds[[#This Row],[worksheet get]],bonds[[#Headers],[ticker]])</f>
        <v>ENGIFP</v>
      </c>
      <c r="I87" s="5" cm="1">
        <f t="array" ref="I87">_xll.BDP(bonds[[#This Row],[worksheet get]],bonds[[#Headers],[coupon]])</f>
        <v>4.75</v>
      </c>
      <c r="J87" s="8" cm="1">
        <f t="array" ref="J87">_xll.BDP(bonds[[#This Row],[worksheet get]],bonds[[#Headers],[nxt_call_dt]])*1</f>
        <v>44387</v>
      </c>
      <c r="K87" s="9" t="str" cm="1">
        <f t="array" ref="K87">_xll.BDP(bonds[[#This Row],[worksheet get]],bonds[[#Headers],[mty_typ]])</f>
        <v>PERP/CALL</v>
      </c>
      <c r="L87" s="9" t="str" cm="1">
        <f t="array" ref="L87">_xll.BDP(bonds[[#This Row],[worksheet get]],bonds[[#Headers],[crncy]])</f>
        <v>EUR</v>
      </c>
      <c r="M87" s="10" cm="1">
        <f t="array" ref="M87">_xll.BDP(bonds[[#This Row],[worksheet get]],bonds[[#Headers],[amt_outstanding]])</f>
        <v>413099999.99999994</v>
      </c>
      <c r="N87" s="9" t="str" cm="1">
        <f t="array" ref="N87">_xll.BDP(bonds[[#This Row],[worksheet get]],bonds[[#Headers],[industry_sector]])</f>
        <v>Utilities</v>
      </c>
      <c r="O87" s="9" t="str">
        <f>bonds[[#This Row],[security name]]&amp;" nc-"&amp;RIGHT(YEAR(bonds[[#This Row],[nxt_call_dt]]),2)</f>
        <v>ENGIFP 4 3/4 PERP nc-21</v>
      </c>
    </row>
    <row r="88" spans="5:15" x14ac:dyDescent="0.25">
      <c r="E88" s="5" t="s">
        <v>134</v>
      </c>
      <c r="F88" s="5" t="str" cm="1">
        <f t="array" ref="F88">_xll.BDP(bonds[[#This Row],[worksheet get]],bonds[[#Headers],[ID_ISIN]])</f>
        <v>FR0013310505</v>
      </c>
      <c r="G88" s="5" t="str" cm="1">
        <f t="array" ref="G88">_xll.BDP(bonds[[#This Row],[worksheet get]],bonds[[#Headers],[security name]])</f>
        <v>ENGIFP 1 3/8 PERP</v>
      </c>
      <c r="H88" s="5" t="str" cm="1">
        <f t="array" ref="H88">_xll.BDP(bonds[[#This Row],[worksheet get]],bonds[[#Headers],[ticker]])</f>
        <v>ENGIFP</v>
      </c>
      <c r="I88" s="5" cm="1">
        <f t="array" ref="I88">_xll.BDP(bonds[[#This Row],[worksheet get]],bonds[[#Headers],[coupon]])</f>
        <v>1.375</v>
      </c>
      <c r="J88" s="8" cm="1">
        <f t="array" ref="J88">_xll.BDP(bonds[[#This Row],[worksheet get]],bonds[[#Headers],[nxt_call_dt]])*1</f>
        <v>44942</v>
      </c>
      <c r="K88" s="9" t="str" cm="1">
        <f t="array" ref="K88">_xll.BDP(bonds[[#This Row],[worksheet get]],bonds[[#Headers],[mty_typ]])</f>
        <v>PERP/CALL</v>
      </c>
      <c r="L88" s="9" t="str" cm="1">
        <f t="array" ref="L88">_xll.BDP(bonds[[#This Row],[worksheet get]],bonds[[#Headers],[crncy]])</f>
        <v>EUR</v>
      </c>
      <c r="M88" s="10" cm="1">
        <f t="array" ref="M88">_xll.BDP(bonds[[#This Row],[worksheet get]],bonds[[#Headers],[amt_outstanding]])</f>
        <v>1000000000</v>
      </c>
      <c r="N88" s="9" t="str" cm="1">
        <f t="array" ref="N88">_xll.BDP(bonds[[#This Row],[worksheet get]],bonds[[#Headers],[industry_sector]])</f>
        <v>Utilities</v>
      </c>
      <c r="O88" s="9" t="str">
        <f>bonds[[#This Row],[security name]]&amp;" nc-"&amp;RIGHT(YEAR(bonds[[#This Row],[nxt_call_dt]]),2)</f>
        <v>ENGIFP 1 3/8 PERP nc-23</v>
      </c>
    </row>
    <row r="89" spans="5:15" x14ac:dyDescent="0.25">
      <c r="E89" s="5" t="s">
        <v>316</v>
      </c>
      <c r="F89" s="5" t="str" cm="1">
        <f t="array" ref="F89">_xll.BDP(bonds[[#This Row],[worksheet get]],bonds[[#Headers],[ID_ISIN]])</f>
        <v>FR0011942283</v>
      </c>
      <c r="G89" s="5" t="str" cm="1">
        <f t="array" ref="G89">_xll.BDP(bonds[[#This Row],[worksheet get]],bonds[[#Headers],[security name]])</f>
        <v>ENGIFP 3 7/8 PERP</v>
      </c>
      <c r="H89" s="5" t="str" cm="1">
        <f t="array" ref="H89">_xll.BDP(bonds[[#This Row],[worksheet get]],bonds[[#Headers],[ticker]])</f>
        <v>ENGIFP</v>
      </c>
      <c r="I89" s="5" cm="1">
        <f t="array" ref="I89">_xll.BDP(bonds[[#This Row],[worksheet get]],bonds[[#Headers],[coupon]])</f>
        <v>3.875</v>
      </c>
      <c r="J89" s="8" cm="1">
        <f t="array" ref="J89">_xll.BDP(bonds[[#This Row],[worksheet get]],bonds[[#Headers],[nxt_call_dt]])*1</f>
        <v>45445</v>
      </c>
      <c r="K89" s="9" t="str" cm="1">
        <f t="array" ref="K89">_xll.BDP(bonds[[#This Row],[worksheet get]],bonds[[#Headers],[mty_typ]])</f>
        <v>PERP/CALL</v>
      </c>
      <c r="L89" s="9" t="str" cm="1">
        <f t="array" ref="L89">_xll.BDP(bonds[[#This Row],[worksheet get]],bonds[[#Headers],[crncy]])</f>
        <v>EUR</v>
      </c>
      <c r="M89" s="10" cm="1">
        <f t="array" ref="M89">_xll.BDP(bonds[[#This Row],[worksheet get]],bonds[[#Headers],[amt_outstanding]])</f>
        <v>1000000000</v>
      </c>
      <c r="N89" s="9" t="str" cm="1">
        <f t="array" ref="N89">_xll.BDP(bonds[[#This Row],[worksheet get]],bonds[[#Headers],[industry_sector]])</f>
        <v>Utilities</v>
      </c>
      <c r="O89" s="9" t="str">
        <f>bonds[[#This Row],[security name]]&amp;" nc-"&amp;RIGHT(YEAR(bonds[[#This Row],[nxt_call_dt]]),2)</f>
        <v>ENGIFP 3 7/8 PERP nc-24</v>
      </c>
    </row>
    <row r="90" spans="5:15" x14ac:dyDescent="0.25">
      <c r="E90" s="5" t="s">
        <v>317</v>
      </c>
      <c r="F90" s="5" t="str" cm="1">
        <f t="array" ref="F90">_xll.BDP(bonds[[#This Row],[worksheet get]],bonds[[#Headers],[ID_ISIN]])</f>
        <v>FR0013398229</v>
      </c>
      <c r="G90" s="5" t="str" cm="1">
        <f t="array" ref="G90">_xll.BDP(bonds[[#This Row],[worksheet get]],bonds[[#Headers],[security name]])</f>
        <v>ENGIFP 3 1/4 PERP</v>
      </c>
      <c r="H90" s="5" t="str" cm="1">
        <f t="array" ref="H90">_xll.BDP(bonds[[#This Row],[worksheet get]],bonds[[#Headers],[ticker]])</f>
        <v>ENGIFP</v>
      </c>
      <c r="I90" s="5" cm="1">
        <f t="array" ref="I90">_xll.BDP(bonds[[#This Row],[worksheet get]],bonds[[#Headers],[coupon]])</f>
        <v>3.25</v>
      </c>
      <c r="J90" s="8" cm="1">
        <f t="array" ref="J90">_xll.BDP(bonds[[#This Row],[worksheet get]],bonds[[#Headers],[nxt_call_dt]])*1</f>
        <v>45624</v>
      </c>
      <c r="K90" s="9" t="str" cm="1">
        <f t="array" ref="K90">_xll.BDP(bonds[[#This Row],[worksheet get]],bonds[[#Headers],[mty_typ]])</f>
        <v>PERP/CALL</v>
      </c>
      <c r="L90" s="9" t="str" cm="1">
        <f t="array" ref="L90">_xll.BDP(bonds[[#This Row],[worksheet get]],bonds[[#Headers],[crncy]])</f>
        <v>EUR</v>
      </c>
      <c r="M90" s="10" cm="1">
        <f t="array" ref="M90">_xll.BDP(bonds[[#This Row],[worksheet get]],bonds[[#Headers],[amt_outstanding]])</f>
        <v>1000000000</v>
      </c>
      <c r="N90" s="9" t="str" cm="1">
        <f t="array" ref="N90">_xll.BDP(bonds[[#This Row],[worksheet get]],bonds[[#Headers],[industry_sector]])</f>
        <v>Utilities</v>
      </c>
      <c r="O90" s="9" t="str">
        <f>bonds[[#This Row],[security name]]&amp;" nc-"&amp;RIGHT(YEAR(bonds[[#This Row],[nxt_call_dt]]),2)</f>
        <v>ENGIFP 3 1/4 PERP nc-24</v>
      </c>
    </row>
    <row r="91" spans="5:15" x14ac:dyDescent="0.25">
      <c r="E91" s="5" t="s">
        <v>135</v>
      </c>
      <c r="F91" s="5" t="str" cm="1">
        <f t="array" ref="F91">_xll.BDP(bonds[[#This Row],[worksheet get]],bonds[[#Headers],[ID_ISIN]])</f>
        <v>FR0013431244</v>
      </c>
      <c r="G91" s="5" t="str" cm="1">
        <f t="array" ref="G91">_xll.BDP(bonds[[#This Row],[worksheet get]],bonds[[#Headers],[security name]])</f>
        <v>ENGIFP 1 5/8 PERP</v>
      </c>
      <c r="H91" s="5" t="str" cm="1">
        <f t="array" ref="H91">_xll.BDP(bonds[[#This Row],[worksheet get]],bonds[[#Headers],[ticker]])</f>
        <v>ENGIFP</v>
      </c>
      <c r="I91" s="5" cm="1">
        <f t="array" ref="I91">_xll.BDP(bonds[[#This Row],[worksheet get]],bonds[[#Headers],[coupon]])</f>
        <v>1.625</v>
      </c>
      <c r="J91" s="8" cm="1">
        <f t="array" ref="J91">_xll.BDP(bonds[[#This Row],[worksheet get]],bonds[[#Headers],[nxt_call_dt]])*1</f>
        <v>45755</v>
      </c>
      <c r="K91" s="9" t="str" cm="1">
        <f t="array" ref="K91">_xll.BDP(bonds[[#This Row],[worksheet get]],bonds[[#Headers],[mty_typ]])</f>
        <v>PERP/CALL</v>
      </c>
      <c r="L91" s="9" t="str" cm="1">
        <f t="array" ref="L91">_xll.BDP(bonds[[#This Row],[worksheet get]],bonds[[#Headers],[crncy]])</f>
        <v>EUR</v>
      </c>
      <c r="M91" s="10" cm="1">
        <f t="array" ref="M91">_xll.BDP(bonds[[#This Row],[worksheet get]],bonds[[#Headers],[amt_outstanding]])</f>
        <v>500000000</v>
      </c>
      <c r="N91" s="9" t="str" cm="1">
        <f t="array" ref="N91">_xll.BDP(bonds[[#This Row],[worksheet get]],bonds[[#Headers],[industry_sector]])</f>
        <v>Utilities</v>
      </c>
      <c r="O91" s="9" t="str">
        <f>bonds[[#This Row],[security name]]&amp;" nc-"&amp;RIGHT(YEAR(bonds[[#This Row],[nxt_call_dt]]),2)</f>
        <v>ENGIFP 1 5/8 PERP nc-25</v>
      </c>
    </row>
    <row r="92" spans="5:15" x14ac:dyDescent="0.25">
      <c r="E92" s="5" t="s">
        <v>77</v>
      </c>
      <c r="F92" s="5" t="str" cm="1">
        <f t="array" ref="F92">_xll.BDP(bonds[[#This Row],[worksheet get]],bonds[[#Headers],[ID_ISIN]])</f>
        <v>FR0012648590</v>
      </c>
      <c r="G92" s="5" t="str" cm="1">
        <f t="array" ref="G92">_xll.BDP(bonds[[#This Row],[worksheet get]],bonds[[#Headers],[security name]])</f>
        <v>SEVFP 2 1/2 PERP</v>
      </c>
      <c r="H92" s="5" t="str" cm="1">
        <f t="array" ref="H92">_xll.BDP(bonds[[#This Row],[worksheet get]],bonds[[#Headers],[ticker]])</f>
        <v>SEVFP</v>
      </c>
      <c r="I92" s="5" cm="1">
        <f t="array" ref="I92">_xll.BDP(bonds[[#This Row],[worksheet get]],bonds[[#Headers],[coupon]])</f>
        <v>2.5</v>
      </c>
      <c r="J92" s="8" cm="1">
        <f t="array" ref="J92">_xll.BDP(bonds[[#This Row],[worksheet get]],bonds[[#Headers],[nxt_call_dt]])*1</f>
        <v>44650</v>
      </c>
      <c r="K92" s="9" t="str" cm="1">
        <f t="array" ref="K92">_xll.BDP(bonds[[#This Row],[worksheet get]],bonds[[#Headers],[mty_typ]])</f>
        <v>PERP/CALL</v>
      </c>
      <c r="L92" s="9" t="str" cm="1">
        <f t="array" ref="L92">_xll.BDP(bonds[[#This Row],[worksheet get]],bonds[[#Headers],[crncy]])</f>
        <v>EUR</v>
      </c>
      <c r="M92" s="10" cm="1">
        <f t="array" ref="M92">_xll.BDP(bonds[[#This Row],[worksheet get]],bonds[[#Headers],[amt_outstanding]])</f>
        <v>500000000</v>
      </c>
      <c r="N92" s="9" t="str" cm="1">
        <f t="array" ref="N92">_xll.BDP(bonds[[#This Row],[worksheet get]],bonds[[#Headers],[industry_sector]])</f>
        <v>Utilities</v>
      </c>
      <c r="O92" s="9" t="str">
        <f>bonds[[#This Row],[security name]]&amp;" nc-"&amp;RIGHT(YEAR(bonds[[#This Row],[nxt_call_dt]]),2)</f>
        <v>SEVFP 2 1/2 PERP nc-22</v>
      </c>
    </row>
    <row r="93" spans="5:15" x14ac:dyDescent="0.25">
      <c r="E93" s="5" t="s">
        <v>318</v>
      </c>
      <c r="F93" s="5" t="str" cm="1">
        <f t="array" ref="F93">_xll.BDP(bonds[[#This Row],[worksheet get]],bonds[[#Headers],[ID_ISIN]])</f>
        <v>FR0013252061</v>
      </c>
      <c r="G93" s="5" t="str" cm="1">
        <f t="array" ref="G93">_xll.BDP(bonds[[#This Row],[worksheet get]],bonds[[#Headers],[security name]])</f>
        <v>SEVFP 2 7/8 PERP</v>
      </c>
      <c r="H93" s="5" t="str" cm="1">
        <f t="array" ref="H93">_xll.BDP(bonds[[#This Row],[worksheet get]],bonds[[#Headers],[ticker]])</f>
        <v>SEVFP</v>
      </c>
      <c r="I93" s="5" cm="1">
        <f t="array" ref="I93">_xll.BDP(bonds[[#This Row],[worksheet get]],bonds[[#Headers],[coupon]])</f>
        <v>2.875</v>
      </c>
      <c r="J93" s="8" cm="1">
        <f t="array" ref="J93">_xll.BDP(bonds[[#This Row],[worksheet get]],bonds[[#Headers],[nxt_call_dt]])*1</f>
        <v>45310</v>
      </c>
      <c r="K93" s="9" t="str" cm="1">
        <f t="array" ref="K93">_xll.BDP(bonds[[#This Row],[worksheet get]],bonds[[#Headers],[mty_typ]])</f>
        <v>PERP/CALL</v>
      </c>
      <c r="L93" s="9" t="str" cm="1">
        <f t="array" ref="L93">_xll.BDP(bonds[[#This Row],[worksheet get]],bonds[[#Headers],[crncy]])</f>
        <v>EUR</v>
      </c>
      <c r="M93" s="10" cm="1">
        <f t="array" ref="M93">_xll.BDP(bonds[[#This Row],[worksheet get]],bonds[[#Headers],[amt_outstanding]])</f>
        <v>600000000</v>
      </c>
      <c r="N93" s="9" t="str" cm="1">
        <f t="array" ref="N93">_xll.BDP(bonds[[#This Row],[worksheet get]],bonds[[#Headers],[industry_sector]])</f>
        <v>Utilities</v>
      </c>
      <c r="O93" s="9" t="str">
        <f>bonds[[#This Row],[security name]]&amp;" nc-"&amp;RIGHT(YEAR(bonds[[#This Row],[nxt_call_dt]]),2)</f>
        <v>SEVFP 2 7/8 PERP nc-24</v>
      </c>
    </row>
    <row r="94" spans="5:15" x14ac:dyDescent="0.25">
      <c r="E94" s="5" t="s">
        <v>78</v>
      </c>
      <c r="F94" s="5" t="str" cm="1">
        <f t="array" ref="F94">_xll.BDP(bonds[[#This Row],[worksheet get]],bonds[[#Headers],[ID_ISIN]])</f>
        <v>FR0013445335</v>
      </c>
      <c r="G94" s="5" t="str" cm="1">
        <f t="array" ref="G94">_xll.BDP(bonds[[#This Row],[worksheet get]],bonds[[#Headers],[security name]])</f>
        <v>SEVFP 1 5/8 PERP</v>
      </c>
      <c r="H94" s="5" t="str" cm="1">
        <f t="array" ref="H94">_xll.BDP(bonds[[#This Row],[worksheet get]],bonds[[#Headers],[ticker]])</f>
        <v>SEVFP</v>
      </c>
      <c r="I94" s="5" cm="1">
        <f t="array" ref="I94">_xll.BDP(bonds[[#This Row],[worksheet get]],bonds[[#Headers],[coupon]])</f>
        <v>1.625</v>
      </c>
      <c r="J94" s="8" cm="1">
        <f t="array" ref="J94">_xll.BDP(bonds[[#This Row],[worksheet get]],bonds[[#Headers],[nxt_call_dt]])*1</f>
        <v>46174</v>
      </c>
      <c r="K94" s="9" t="str" cm="1">
        <f t="array" ref="K94">_xll.BDP(bonds[[#This Row],[worksheet get]],bonds[[#Headers],[mty_typ]])</f>
        <v>PERP/CALL</v>
      </c>
      <c r="L94" s="9" t="str" cm="1">
        <f t="array" ref="L94">_xll.BDP(bonds[[#This Row],[worksheet get]],bonds[[#Headers],[crncy]])</f>
        <v>EUR</v>
      </c>
      <c r="M94" s="10" cm="1">
        <f t="array" ref="M94">_xll.BDP(bonds[[#This Row],[worksheet get]],bonds[[#Headers],[amt_outstanding]])</f>
        <v>500000000</v>
      </c>
      <c r="N94" s="9" t="str" cm="1">
        <f t="array" ref="N94">_xll.BDP(bonds[[#This Row],[worksheet get]],bonds[[#Headers],[industry_sector]])</f>
        <v>Utilities</v>
      </c>
      <c r="O94" s="9" t="str">
        <f>bonds[[#This Row],[security name]]&amp;" nc-"&amp;RIGHT(YEAR(bonds[[#This Row],[nxt_call_dt]]),2)</f>
        <v>SEVFP 1 5/8 PERP nc-26</v>
      </c>
    </row>
    <row r="95" spans="5:15" x14ac:dyDescent="0.25">
      <c r="E95" s="5" t="s">
        <v>319</v>
      </c>
      <c r="F95" s="5" t="str" cm="1">
        <f t="array" ref="F95">_xll.BDP(bonds[[#This Row],[worksheet get]],bonds[[#Headers],[ID_ISIN]])</f>
        <v>FR0011697010</v>
      </c>
      <c r="G95" s="5" t="str" cm="1">
        <f t="array" ref="G95">_xll.BDP(bonds[[#This Row],[worksheet get]],bonds[[#Headers],[security name]])</f>
        <v>EDF 4 1/8 PERP</v>
      </c>
      <c r="H95" s="5" t="str" cm="1">
        <f t="array" ref="H95">_xll.BDP(bonds[[#This Row],[worksheet get]],bonds[[#Headers],[ticker]])</f>
        <v>EDF</v>
      </c>
      <c r="I95" s="5" cm="1">
        <f t="array" ref="I95">_xll.BDP(bonds[[#This Row],[worksheet get]],bonds[[#Headers],[coupon]])</f>
        <v>4.125</v>
      </c>
      <c r="J95" s="8" cm="1">
        <f t="array" ref="J95">_xll.BDP(bonds[[#This Row],[worksheet get]],bonds[[#Headers],[nxt_call_dt]])*1</f>
        <v>44583</v>
      </c>
      <c r="K95" s="9" t="str" cm="1">
        <f t="array" ref="K95">_xll.BDP(bonds[[#This Row],[worksheet get]],bonds[[#Headers],[mty_typ]])</f>
        <v>PERP/CALL</v>
      </c>
      <c r="L95" s="9" t="str" cm="1">
        <f t="array" ref="L95">_xll.BDP(bonds[[#This Row],[worksheet get]],bonds[[#Headers],[crncy]])</f>
        <v>EUR</v>
      </c>
      <c r="M95" s="10" cm="1">
        <f t="array" ref="M95">_xll.BDP(bonds[[#This Row],[worksheet get]],bonds[[#Headers],[amt_outstanding]])</f>
        <v>266900000</v>
      </c>
      <c r="N95" s="9" t="str" cm="1">
        <f t="array" ref="N95">_xll.BDP(bonds[[#This Row],[worksheet get]],bonds[[#Headers],[industry_sector]])</f>
        <v>Utilities</v>
      </c>
      <c r="O95" s="9" t="str">
        <f>bonds[[#This Row],[security name]]&amp;" nc-"&amp;RIGHT(YEAR(bonds[[#This Row],[nxt_call_dt]]),2)</f>
        <v>EDF 4 1/8 PERP nc-22</v>
      </c>
    </row>
    <row r="96" spans="5:15" x14ac:dyDescent="0.25">
      <c r="E96" s="5" t="s">
        <v>320</v>
      </c>
      <c r="F96" s="5" t="str" cm="1">
        <f t="array" ref="F96">_xll.BDP(bonds[[#This Row],[worksheet get]],bonds[[#Headers],[ID_ISIN]])</f>
        <v>FR0013367612</v>
      </c>
      <c r="G96" s="5" t="str" cm="1">
        <f t="array" ref="G96">_xll.BDP(bonds[[#This Row],[worksheet get]],bonds[[#Headers],[security name]])</f>
        <v>EDF 4 PERP</v>
      </c>
      <c r="H96" s="5" t="str" cm="1">
        <f t="array" ref="H96">_xll.BDP(bonds[[#This Row],[worksheet get]],bonds[[#Headers],[ticker]])</f>
        <v>EDF</v>
      </c>
      <c r="I96" s="5" cm="1">
        <f t="array" ref="I96">_xll.BDP(bonds[[#This Row],[worksheet get]],bonds[[#Headers],[coupon]])</f>
        <v>4</v>
      </c>
      <c r="J96" s="8" cm="1">
        <f t="array" ref="J96">_xll.BDP(bonds[[#This Row],[worksheet get]],bonds[[#Headers],[nxt_call_dt]])*1</f>
        <v>45477</v>
      </c>
      <c r="K96" s="9" t="str" cm="1">
        <f t="array" ref="K96">_xll.BDP(bonds[[#This Row],[worksheet get]],bonds[[#Headers],[mty_typ]])</f>
        <v>PERP/CALL</v>
      </c>
      <c r="L96" s="9" t="str" cm="1">
        <f t="array" ref="L96">_xll.BDP(bonds[[#This Row],[worksheet get]],bonds[[#Headers],[crncy]])</f>
        <v>EUR</v>
      </c>
      <c r="M96" s="10" cm="1">
        <f t="array" ref="M96">_xll.BDP(bonds[[#This Row],[worksheet get]],bonds[[#Headers],[amt_outstanding]])</f>
        <v>1250000000</v>
      </c>
      <c r="N96" s="9" t="str" cm="1">
        <f t="array" ref="N96">_xll.BDP(bonds[[#This Row],[worksheet get]],bonds[[#Headers],[industry_sector]])</f>
        <v>Utilities</v>
      </c>
      <c r="O96" s="9" t="str">
        <f>bonds[[#This Row],[security name]]&amp;" nc-"&amp;RIGHT(YEAR(bonds[[#This Row],[nxt_call_dt]]),2)</f>
        <v>EDF 4 PERP nc-24</v>
      </c>
    </row>
    <row r="97" spans="5:15" x14ac:dyDescent="0.25">
      <c r="E97" s="5" t="s">
        <v>321</v>
      </c>
      <c r="F97" s="5" t="str" cm="1">
        <f t="array" ref="F97">_xll.BDP(bonds[[#This Row],[worksheet get]],bonds[[#Headers],[ID_ISIN]])</f>
        <v>FR0011401751</v>
      </c>
      <c r="G97" s="5" t="str" cm="1">
        <f t="array" ref="G97">_xll.BDP(bonds[[#This Row],[worksheet get]],bonds[[#Headers],[security name]])</f>
        <v>EDF 5 3/8 PERP</v>
      </c>
      <c r="H97" s="5" t="str" cm="1">
        <f t="array" ref="H97">_xll.BDP(bonds[[#This Row],[worksheet get]],bonds[[#Headers],[ticker]])</f>
        <v>EDF</v>
      </c>
      <c r="I97" s="5" cm="1">
        <f t="array" ref="I97">_xll.BDP(bonds[[#This Row],[worksheet get]],bonds[[#Headers],[coupon]])</f>
        <v>5.375</v>
      </c>
      <c r="J97" s="8" cm="1">
        <f t="array" ref="J97">_xll.BDP(bonds[[#This Row],[worksheet get]],bonds[[#Headers],[nxt_call_dt]])*1</f>
        <v>45686</v>
      </c>
      <c r="K97" s="9" t="str" cm="1">
        <f t="array" ref="K97">_xll.BDP(bonds[[#This Row],[worksheet get]],bonds[[#Headers],[mty_typ]])</f>
        <v>PERP/CALL</v>
      </c>
      <c r="L97" s="9" t="str" cm="1">
        <f t="array" ref="L97">_xll.BDP(bonds[[#This Row],[worksheet get]],bonds[[#Headers],[crncy]])</f>
        <v>EUR</v>
      </c>
      <c r="M97" s="10" cm="1">
        <f t="array" ref="M97">_xll.BDP(bonds[[#This Row],[worksheet get]],bonds[[#Headers],[amt_outstanding]])</f>
        <v>1250000000</v>
      </c>
      <c r="N97" s="9" t="str" cm="1">
        <f t="array" ref="N97">_xll.BDP(bonds[[#This Row],[worksheet get]],bonds[[#Headers],[industry_sector]])</f>
        <v>Utilities</v>
      </c>
      <c r="O97" s="9" t="str">
        <f>bonds[[#This Row],[security name]]&amp;" nc-"&amp;RIGHT(YEAR(bonds[[#This Row],[nxt_call_dt]]),2)</f>
        <v>EDF 5 3/8 PERP nc-25</v>
      </c>
    </row>
    <row r="98" spans="5:15" x14ac:dyDescent="0.25">
      <c r="E98" s="5" t="s">
        <v>322</v>
      </c>
      <c r="F98" s="5" t="str" cm="1">
        <f t="array" ref="F98">_xll.BDP(bonds[[#This Row],[worksheet get]],bonds[[#Headers],[ID_ISIN]])</f>
        <v>FR0011697028</v>
      </c>
      <c r="G98" s="5" t="str" cm="1">
        <f t="array" ref="G98">_xll.BDP(bonds[[#This Row],[worksheet get]],bonds[[#Headers],[security name]])</f>
        <v>EDF 5 PERP</v>
      </c>
      <c r="H98" s="5" t="str" cm="1">
        <f t="array" ref="H98">_xll.BDP(bonds[[#This Row],[worksheet get]],bonds[[#Headers],[ticker]])</f>
        <v>EDF</v>
      </c>
      <c r="I98" s="5" cm="1">
        <f t="array" ref="I98">_xll.BDP(bonds[[#This Row],[worksheet get]],bonds[[#Headers],[coupon]])</f>
        <v>5</v>
      </c>
      <c r="J98" s="8" cm="1">
        <f t="array" ref="J98">_xll.BDP(bonds[[#This Row],[worksheet get]],bonds[[#Headers],[nxt_call_dt]])*1</f>
        <v>46044</v>
      </c>
      <c r="K98" s="9" t="str" cm="1">
        <f t="array" ref="K98">_xll.BDP(bonds[[#This Row],[worksheet get]],bonds[[#Headers],[mty_typ]])</f>
        <v>PERP/CALL</v>
      </c>
      <c r="L98" s="9" t="str" cm="1">
        <f t="array" ref="L98">_xll.BDP(bonds[[#This Row],[worksheet get]],bonds[[#Headers],[crncy]])</f>
        <v>EUR</v>
      </c>
      <c r="M98" s="10" cm="1">
        <f t="array" ref="M98">_xll.BDP(bonds[[#This Row],[worksheet get]],bonds[[#Headers],[amt_outstanding]])</f>
        <v>1000000000</v>
      </c>
      <c r="N98" s="9" t="str" cm="1">
        <f t="array" ref="N98">_xll.BDP(bonds[[#This Row],[worksheet get]],bonds[[#Headers],[industry_sector]])</f>
        <v>Utilities</v>
      </c>
      <c r="O98" s="9" t="str">
        <f>bonds[[#This Row],[security name]]&amp;" nc-"&amp;RIGHT(YEAR(bonds[[#This Row],[nxt_call_dt]]),2)</f>
        <v>EDF 5 PERP nc-26</v>
      </c>
    </row>
    <row r="99" spans="5:15" x14ac:dyDescent="0.25">
      <c r="E99" s="5" t="s">
        <v>323</v>
      </c>
      <c r="F99" s="5" t="str" cm="1">
        <f t="array" ref="F99">_xll.BDP(bonds[[#This Row],[worksheet get]],bonds[[#Headers],[ID_ISIN]])</f>
        <v>FR0013464922</v>
      </c>
      <c r="G99" s="5" t="str" cm="1">
        <f t="array" ref="G99">_xll.BDP(bonds[[#This Row],[worksheet get]],bonds[[#Headers],[security name]])</f>
        <v>EDF 3 PERP</v>
      </c>
      <c r="H99" s="5" t="str" cm="1">
        <f t="array" ref="H99">_xll.BDP(bonds[[#This Row],[worksheet get]],bonds[[#Headers],[ticker]])</f>
        <v>EDF</v>
      </c>
      <c r="I99" s="5" cm="1">
        <f t="array" ref="I99">_xll.BDP(bonds[[#This Row],[worksheet get]],bonds[[#Headers],[coupon]])</f>
        <v>3</v>
      </c>
      <c r="J99" s="8" cm="1">
        <f t="array" ref="J99">_xll.BDP(bonds[[#This Row],[worksheet get]],bonds[[#Headers],[nxt_call_dt]])*1</f>
        <v>46633</v>
      </c>
      <c r="K99" s="9" t="str" cm="1">
        <f t="array" ref="K99">_xll.BDP(bonds[[#This Row],[worksheet get]],bonds[[#Headers],[mty_typ]])</f>
        <v>PERP/CALL</v>
      </c>
      <c r="L99" s="9" t="str" cm="1">
        <f t="array" ref="L99">_xll.BDP(bonds[[#This Row],[worksheet get]],bonds[[#Headers],[crncy]])</f>
        <v>EUR</v>
      </c>
      <c r="M99" s="10" cm="1">
        <f t="array" ref="M99">_xll.BDP(bonds[[#This Row],[worksheet get]],bonds[[#Headers],[amt_outstanding]])</f>
        <v>500000000</v>
      </c>
      <c r="N99" s="9" t="str" cm="1">
        <f t="array" ref="N99">_xll.BDP(bonds[[#This Row],[worksheet get]],bonds[[#Headers],[industry_sector]])</f>
        <v>Utilities</v>
      </c>
      <c r="O99" s="9" t="str">
        <f>bonds[[#This Row],[security name]]&amp;" nc-"&amp;RIGHT(YEAR(bonds[[#This Row],[nxt_call_dt]]),2)</f>
        <v>EDF 3 PERP nc-27</v>
      </c>
    </row>
    <row r="100" spans="5:15" x14ac:dyDescent="0.25">
      <c r="E100" s="5" t="s">
        <v>324</v>
      </c>
      <c r="F100" s="5" t="str" cm="1">
        <f t="array" ref="F100">_xll.BDP(bonds[[#This Row],[worksheet get]],bonds[[#Headers],[ID_ISIN]])</f>
        <v>FR0011401728</v>
      </c>
      <c r="G100" s="5" t="str" cm="1">
        <f t="array" ref="G100">_xll.BDP(bonds[[#This Row],[worksheet get]],bonds[[#Headers],[security name]])</f>
        <v>EDF 6 PERP</v>
      </c>
      <c r="H100" s="5" t="str" cm="1">
        <f t="array" ref="H100">_xll.BDP(bonds[[#This Row],[worksheet get]],bonds[[#Headers],[ticker]])</f>
        <v>EDF</v>
      </c>
      <c r="I100" s="5" cm="1">
        <f t="array" ref="I100">_xll.BDP(bonds[[#This Row],[worksheet get]],bonds[[#Headers],[coupon]])</f>
        <v>6</v>
      </c>
      <c r="J100" s="8" cm="1">
        <f t="array" ref="J100">_xll.BDP(bonds[[#This Row],[worksheet get]],bonds[[#Headers],[nxt_call_dt]])*1</f>
        <v>46051</v>
      </c>
      <c r="K100" s="9" t="str" cm="1">
        <f t="array" ref="K100">_xll.BDP(bonds[[#This Row],[worksheet get]],bonds[[#Headers],[mty_typ]])</f>
        <v>PERP/CALL</v>
      </c>
      <c r="L100" s="9" t="str" cm="1">
        <f t="array" ref="L100">_xll.BDP(bonds[[#This Row],[worksheet get]],bonds[[#Headers],[crncy]])</f>
        <v>GBP</v>
      </c>
      <c r="M100" s="10" cm="1">
        <f t="array" ref="M100">_xll.BDP(bonds[[#This Row],[worksheet get]],bonds[[#Headers],[amt_outstanding]])</f>
        <v>1250000000</v>
      </c>
      <c r="N100" s="9" t="str" cm="1">
        <f t="array" ref="N100">_xll.BDP(bonds[[#This Row],[worksheet get]],bonds[[#Headers],[industry_sector]])</f>
        <v>Utilities</v>
      </c>
      <c r="O100" s="9" t="str">
        <f>bonds[[#This Row],[security name]]&amp;" nc-"&amp;RIGHT(YEAR(bonds[[#This Row],[nxt_call_dt]]),2)</f>
        <v>EDF 6 PERP nc-26</v>
      </c>
    </row>
    <row r="101" spans="5:15" x14ac:dyDescent="0.25">
      <c r="E101" s="5" t="s">
        <v>325</v>
      </c>
      <c r="F101" s="5" t="str" cm="1">
        <f t="array" ref="F101">_xll.BDP(bonds[[#This Row],[worksheet get]],bonds[[#Headers],[ID_ISIN]])</f>
        <v>FR0011700293</v>
      </c>
      <c r="G101" s="5" t="str" cm="1">
        <f t="array" ref="G101">_xll.BDP(bonds[[#This Row],[worksheet get]],bonds[[#Headers],[security name]])</f>
        <v>EDF 5 7/8 PERP</v>
      </c>
      <c r="H101" s="5" t="str" cm="1">
        <f t="array" ref="H101">_xll.BDP(bonds[[#This Row],[worksheet get]],bonds[[#Headers],[ticker]])</f>
        <v>EDF</v>
      </c>
      <c r="I101" s="5" cm="1">
        <f t="array" ref="I101">_xll.BDP(bonds[[#This Row],[worksheet get]],bonds[[#Headers],[coupon]])</f>
        <v>5.875</v>
      </c>
      <c r="J101" s="8" cm="1">
        <f t="array" ref="J101">_xll.BDP(bonds[[#This Row],[worksheet get]],bonds[[#Headers],[nxt_call_dt]])*1</f>
        <v>47140</v>
      </c>
      <c r="K101" s="9" t="str" cm="1">
        <f t="array" ref="K101">_xll.BDP(bonds[[#This Row],[worksheet get]],bonds[[#Headers],[mty_typ]])</f>
        <v>PERP/CALL</v>
      </c>
      <c r="L101" s="9" t="str" cm="1">
        <f t="array" ref="L101">_xll.BDP(bonds[[#This Row],[worksheet get]],bonds[[#Headers],[crncy]])</f>
        <v>GBP</v>
      </c>
      <c r="M101" s="10" cm="1">
        <f t="array" ref="M101">_xll.BDP(bonds[[#This Row],[worksheet get]],bonds[[#Headers],[amt_outstanding]])</f>
        <v>750000000</v>
      </c>
      <c r="N101" s="9" t="str" cm="1">
        <f t="array" ref="N101">_xll.BDP(bonds[[#This Row],[worksheet get]],bonds[[#Headers],[industry_sector]])</f>
        <v>Utilities</v>
      </c>
      <c r="O101" s="9" t="str">
        <f>bonds[[#This Row],[security name]]&amp;" nc-"&amp;RIGHT(YEAR(bonds[[#This Row],[nxt_call_dt]]),2)</f>
        <v>EDF 5 7/8 PERP nc-29</v>
      </c>
    </row>
    <row r="102" spans="5:15" x14ac:dyDescent="0.25">
      <c r="E102" s="5" t="s">
        <v>326</v>
      </c>
      <c r="F102" s="5" t="str" cm="1">
        <f t="array" ref="F102">_xll.BDP(bonds[[#This Row],[worksheet get]],bonds[[#Headers],[ID_ISIN]])</f>
        <v>USF2893TAF33</v>
      </c>
      <c r="G102" s="5" t="str" cm="1">
        <f t="array" ref="G102">_xll.BDP(bonds[[#This Row],[worksheet get]],bonds[[#Headers],[security name]])</f>
        <v>EDF 5 1/4 PERP</v>
      </c>
      <c r="H102" s="5" t="str" cm="1">
        <f t="array" ref="H102">_xll.BDP(bonds[[#This Row],[worksheet get]],bonds[[#Headers],[ticker]])</f>
        <v>EDF</v>
      </c>
      <c r="I102" s="5" cm="1">
        <f t="array" ref="I102">_xll.BDP(bonds[[#This Row],[worksheet get]],bonds[[#Headers],[coupon]])</f>
        <v>5.25</v>
      </c>
      <c r="J102" s="8" cm="1">
        <f t="array" ref="J102">_xll.BDP(bonds[[#This Row],[worksheet get]],bonds[[#Headers],[nxt_call_dt]])*1</f>
        <v>44955</v>
      </c>
      <c r="K102" s="9" t="str" cm="1">
        <f t="array" ref="K102">_xll.BDP(bonds[[#This Row],[worksheet get]],bonds[[#Headers],[mty_typ]])</f>
        <v>PERP/CALL</v>
      </c>
      <c r="L102" s="9" t="str" cm="1">
        <f t="array" ref="L102">_xll.BDP(bonds[[#This Row],[worksheet get]],bonds[[#Headers],[crncy]])</f>
        <v>USD</v>
      </c>
      <c r="M102" s="10" cm="1">
        <f t="array" ref="M102">_xll.BDP(bonds[[#This Row],[worksheet get]],bonds[[#Headers],[amt_outstanding]])</f>
        <v>2097614000</v>
      </c>
      <c r="N102" s="9" t="str" cm="1">
        <f t="array" ref="N102">_xll.BDP(bonds[[#This Row],[worksheet get]],bonds[[#Headers],[industry_sector]])</f>
        <v>Utilities</v>
      </c>
      <c r="O102" s="9" t="str">
        <f>bonds[[#This Row],[security name]]&amp;" nc-"&amp;RIGHT(YEAR(bonds[[#This Row],[nxt_call_dt]]),2)</f>
        <v>EDF 5 1/4 PERP nc-23</v>
      </c>
    </row>
    <row r="103" spans="5:15" x14ac:dyDescent="0.25">
      <c r="E103" s="5" t="s">
        <v>327</v>
      </c>
      <c r="F103" s="5" t="str" cm="1">
        <f t="array" ref="F103">_xll.BDP(bonds[[#This Row],[worksheet get]],bonds[[#Headers],[ID_ISIN]])</f>
        <v>USF2893TAM83</v>
      </c>
      <c r="G103" s="5" t="str" cm="1">
        <f t="array" ref="G103">_xll.BDP(bonds[[#This Row],[worksheet get]],bonds[[#Headers],[security name]])</f>
        <v>EDF 5 5/8 PERP</v>
      </c>
      <c r="H103" s="5" t="str" cm="1">
        <f t="array" ref="H103">_xll.BDP(bonds[[#This Row],[worksheet get]],bonds[[#Headers],[ticker]])</f>
        <v>EDF</v>
      </c>
      <c r="I103" s="5" cm="1">
        <f t="array" ref="I103">_xll.BDP(bonds[[#This Row],[worksheet get]],bonds[[#Headers],[coupon]])</f>
        <v>5.625</v>
      </c>
      <c r="J103" s="8" cm="1">
        <f t="array" ref="J103">_xll.BDP(bonds[[#This Row],[worksheet get]],bonds[[#Headers],[nxt_call_dt]])*1</f>
        <v>45313</v>
      </c>
      <c r="K103" s="9" t="str" cm="1">
        <f t="array" ref="K103">_xll.BDP(bonds[[#This Row],[worksheet get]],bonds[[#Headers],[mty_typ]])</f>
        <v>PERP/CALL</v>
      </c>
      <c r="L103" s="9" t="str" cm="1">
        <f t="array" ref="L103">_xll.BDP(bonds[[#This Row],[worksheet get]],bonds[[#Headers],[crncy]])</f>
        <v>USD</v>
      </c>
      <c r="M103" s="10" cm="1">
        <f t="array" ref="M103">_xll.BDP(bonds[[#This Row],[worksheet get]],bonds[[#Headers],[amt_outstanding]])</f>
        <v>1500000000</v>
      </c>
      <c r="N103" s="9" t="str" cm="1">
        <f t="array" ref="N103">_xll.BDP(bonds[[#This Row],[worksheet get]],bonds[[#Headers],[industry_sector]])</f>
        <v>Utilities</v>
      </c>
      <c r="O103" s="9" t="str">
        <f>bonds[[#This Row],[security name]]&amp;" nc-"&amp;RIGHT(YEAR(bonds[[#This Row],[nxt_call_dt]]),2)</f>
        <v>EDF 5 5/8 PERP nc-24</v>
      </c>
    </row>
    <row r="104" spans="5:15" x14ac:dyDescent="0.25">
      <c r="E104" s="5" t="s">
        <v>328</v>
      </c>
      <c r="F104" s="5" t="str" cm="1">
        <f t="array" ref="F104">_xll.BDP(bonds[[#This Row],[worksheet get]],bonds[[#Headers],[ID_ISIN]])</f>
        <v>XS1044811591</v>
      </c>
      <c r="G104" s="5" t="str" cm="1">
        <f t="array" ref="G104">_xll.BDP(bonds[[#This Row],[worksheet get]],bonds[[#Headers],[security name]])</f>
        <v>ENBW 3 5/8 04/02/76</v>
      </c>
      <c r="H104" s="5" t="str" cm="1">
        <f t="array" ref="H104">_xll.BDP(bonds[[#This Row],[worksheet get]],bonds[[#Headers],[ticker]])</f>
        <v>ENBW</v>
      </c>
      <c r="I104" s="5" cm="1">
        <f t="array" ref="I104">_xll.BDP(bonds[[#This Row],[worksheet get]],bonds[[#Headers],[coupon]])</f>
        <v>3.625</v>
      </c>
      <c r="J104" s="8" cm="1">
        <f t="array" ref="J104">_xll.BDP(bonds[[#This Row],[worksheet get]],bonds[[#Headers],[nxt_call_dt]])*1</f>
        <v>44288</v>
      </c>
      <c r="K104" s="9" t="str" cm="1">
        <f t="array" ref="K104">_xll.BDP(bonds[[#This Row],[worksheet get]],bonds[[#Headers],[mty_typ]])</f>
        <v>CALLABLE</v>
      </c>
      <c r="L104" s="9" t="str" cm="1">
        <f t="array" ref="L104">_xll.BDP(bonds[[#This Row],[worksheet get]],bonds[[#Headers],[crncy]])</f>
        <v>EUR</v>
      </c>
      <c r="M104" s="10" cm="1">
        <f t="array" ref="M104">_xll.BDP(bonds[[#This Row],[worksheet get]],bonds[[#Headers],[amt_outstanding]])</f>
        <v>1000000000</v>
      </c>
      <c r="N104" s="9" t="str" cm="1">
        <f t="array" ref="N104">_xll.BDP(bonds[[#This Row],[worksheet get]],bonds[[#Headers],[industry_sector]])</f>
        <v>Utilities</v>
      </c>
      <c r="O104" s="9" t="str">
        <f>bonds[[#This Row],[security name]]&amp;" nc-"&amp;RIGHT(YEAR(bonds[[#This Row],[nxt_call_dt]]),2)</f>
        <v>ENBW 3 5/8 04/02/76 nc-21</v>
      </c>
    </row>
    <row r="105" spans="5:15" x14ac:dyDescent="0.25">
      <c r="E105" s="5" t="s">
        <v>328</v>
      </c>
      <c r="F105" s="5" t="str" cm="1">
        <f t="array" ref="F105">_xll.BDP(bonds[[#This Row],[worksheet get]],bonds[[#Headers],[ID_ISIN]])</f>
        <v>XS1044811591</v>
      </c>
      <c r="G105" s="5" t="str" cm="1">
        <f t="array" ref="G105">_xll.BDP(bonds[[#This Row],[worksheet get]],bonds[[#Headers],[security name]])</f>
        <v>ENBW 3 5/8 04/02/76</v>
      </c>
      <c r="H105" s="5" t="str" cm="1">
        <f t="array" ref="H105">_xll.BDP(bonds[[#This Row],[worksheet get]],bonds[[#Headers],[ticker]])</f>
        <v>ENBW</v>
      </c>
      <c r="I105" s="5" cm="1">
        <f t="array" ref="I105">_xll.BDP(bonds[[#This Row],[worksheet get]],bonds[[#Headers],[coupon]])</f>
        <v>3.625</v>
      </c>
      <c r="J105" s="8" cm="1">
        <f t="array" ref="J105">_xll.BDP(bonds[[#This Row],[worksheet get]],bonds[[#Headers],[nxt_call_dt]])*1</f>
        <v>44288</v>
      </c>
      <c r="K105" s="9" t="str" cm="1">
        <f t="array" ref="K105">_xll.BDP(bonds[[#This Row],[worksheet get]],bonds[[#Headers],[mty_typ]])</f>
        <v>CALLABLE</v>
      </c>
      <c r="L105" s="9" t="str" cm="1">
        <f t="array" ref="L105">_xll.BDP(bonds[[#This Row],[worksheet get]],bonds[[#Headers],[crncy]])</f>
        <v>EUR</v>
      </c>
      <c r="M105" s="10" cm="1">
        <f t="array" ref="M105">_xll.BDP(bonds[[#This Row],[worksheet get]],bonds[[#Headers],[amt_outstanding]])</f>
        <v>1000000000</v>
      </c>
      <c r="N105" s="9" t="str" cm="1">
        <f t="array" ref="N105">_xll.BDP(bonds[[#This Row],[worksheet get]],bonds[[#Headers],[industry_sector]])</f>
        <v>Utilities</v>
      </c>
      <c r="O105" s="9" t="str">
        <f>bonds[[#This Row],[security name]]&amp;" nc-"&amp;RIGHT(YEAR(bonds[[#This Row],[nxt_call_dt]]),2)</f>
        <v>ENBW 3 5/8 04/02/76 nc-21</v>
      </c>
    </row>
    <row r="106" spans="5:15" x14ac:dyDescent="0.25">
      <c r="E106" s="5" t="s">
        <v>329</v>
      </c>
      <c r="F106" s="5" t="str" cm="1">
        <f t="array" ref="F106">_xll.BDP(bonds[[#This Row],[worksheet get]],bonds[[#Headers],[ID_ISIN]])</f>
        <v>XS1405770907</v>
      </c>
      <c r="G106" s="5" t="str" cm="1">
        <f t="array" ref="G106">_xll.BDP(bonds[[#This Row],[worksheet get]],bonds[[#Headers],[security name]])</f>
        <v>ENBW 3 3/8 04/05/77</v>
      </c>
      <c r="H106" s="5" t="str" cm="1">
        <f t="array" ref="H106">_xll.BDP(bonds[[#This Row],[worksheet get]],bonds[[#Headers],[ticker]])</f>
        <v>ENBW</v>
      </c>
      <c r="I106" s="5" cm="1">
        <f t="array" ref="I106">_xll.BDP(bonds[[#This Row],[worksheet get]],bonds[[#Headers],[coupon]])</f>
        <v>3.375</v>
      </c>
      <c r="J106" s="8" cm="1">
        <f t="array" ref="J106">_xll.BDP(bonds[[#This Row],[worksheet get]],bonds[[#Headers],[nxt_call_dt]])*1</f>
        <v>44566</v>
      </c>
      <c r="K106" s="9" t="str" cm="1">
        <f t="array" ref="K106">_xll.BDP(bonds[[#This Row],[worksheet get]],bonds[[#Headers],[mty_typ]])</f>
        <v>CALLABLE</v>
      </c>
      <c r="L106" s="9" t="str" cm="1">
        <f t="array" ref="L106">_xll.BDP(bonds[[#This Row],[worksheet get]],bonds[[#Headers],[crncy]])</f>
        <v>EUR</v>
      </c>
      <c r="M106" s="10" cm="1">
        <f t="array" ref="M106">_xll.BDP(bonds[[#This Row],[worksheet get]],bonds[[#Headers],[amt_outstanding]])</f>
        <v>725000000</v>
      </c>
      <c r="N106" s="9" t="str" cm="1">
        <f t="array" ref="N106">_xll.BDP(bonds[[#This Row],[worksheet get]],bonds[[#Headers],[industry_sector]])</f>
        <v>Utilities</v>
      </c>
      <c r="O106" s="9" t="str">
        <f>bonds[[#This Row],[security name]]&amp;" nc-"&amp;RIGHT(YEAR(bonds[[#This Row],[nxt_call_dt]]),2)</f>
        <v>ENBW 3 3/8 04/05/77 nc-22</v>
      </c>
    </row>
    <row r="107" spans="5:15" x14ac:dyDescent="0.25">
      <c r="E107" s="5" t="s">
        <v>330</v>
      </c>
      <c r="F107" s="5" t="str" cm="1">
        <f t="array" ref="F107">_xll.BDP(bonds[[#This Row],[worksheet get]],bonds[[#Headers],[ID_ISIN]])</f>
        <v>XS2035564975</v>
      </c>
      <c r="G107" s="5" t="str" cm="1">
        <f t="array" ref="G107">_xll.BDP(bonds[[#This Row],[worksheet get]],bonds[[#Headers],[security name]])</f>
        <v>ENBW 1 1/8 11/05/79</v>
      </c>
      <c r="H107" s="5" t="str" cm="1">
        <f t="array" ref="H107">_xll.BDP(bonds[[#This Row],[worksheet get]],bonds[[#Headers],[ticker]])</f>
        <v>ENBW</v>
      </c>
      <c r="I107" s="5" cm="1">
        <f t="array" ref="I107">_xll.BDP(bonds[[#This Row],[worksheet get]],bonds[[#Headers],[coupon]])</f>
        <v>1.125</v>
      </c>
      <c r="J107" s="8" cm="1">
        <f t="array" ref="J107">_xll.BDP(bonds[[#This Row],[worksheet get]],bonds[[#Headers],[nxt_call_dt]])*1</f>
        <v>45509</v>
      </c>
      <c r="K107" s="9" t="str" cm="1">
        <f t="array" ref="K107">_xll.BDP(bonds[[#This Row],[worksheet get]],bonds[[#Headers],[mty_typ]])</f>
        <v>CALLABLE</v>
      </c>
      <c r="L107" s="9" t="str" cm="1">
        <f t="array" ref="L107">_xll.BDP(bonds[[#This Row],[worksheet get]],bonds[[#Headers],[crncy]])</f>
        <v>EUR</v>
      </c>
      <c r="M107" s="10" cm="1">
        <f t="array" ref="M107">_xll.BDP(bonds[[#This Row],[worksheet get]],bonds[[#Headers],[amt_outstanding]])</f>
        <v>500000000</v>
      </c>
      <c r="N107" s="9" t="str" cm="1">
        <f t="array" ref="N107">_xll.BDP(bonds[[#This Row],[worksheet get]],bonds[[#Headers],[industry_sector]])</f>
        <v>Utilities</v>
      </c>
      <c r="O107" s="9" t="str">
        <f>bonds[[#This Row],[security name]]&amp;" nc-"&amp;RIGHT(YEAR(bonds[[#This Row],[nxt_call_dt]]),2)</f>
        <v>ENBW 1 1/8 11/05/79 nc-24</v>
      </c>
    </row>
    <row r="108" spans="5:15" x14ac:dyDescent="0.25">
      <c r="E108" s="5" t="s">
        <v>331</v>
      </c>
      <c r="F108" s="5" t="str" cm="1">
        <f t="array" ref="F108">_xll.BDP(bonds[[#This Row],[worksheet get]],bonds[[#Headers],[ID_ISIN]])</f>
        <v>XS2196328608</v>
      </c>
      <c r="G108" s="5" t="str" cm="1">
        <f t="array" ref="G108">_xll.BDP(bonds[[#This Row],[worksheet get]],bonds[[#Headers],[security name]])</f>
        <v>ENBW 1 7/8 06/29/80</v>
      </c>
      <c r="H108" s="5" t="str" cm="1">
        <f t="array" ref="H108">_xll.BDP(bonds[[#This Row],[worksheet get]],bonds[[#Headers],[ticker]])</f>
        <v>ENBW</v>
      </c>
      <c r="I108" s="5" cm="1">
        <f t="array" ref="I108">_xll.BDP(bonds[[#This Row],[worksheet get]],bonds[[#Headers],[coupon]])</f>
        <v>1.875</v>
      </c>
      <c r="J108" s="8" cm="1">
        <f t="array" ref="J108">_xll.BDP(bonds[[#This Row],[worksheet get]],bonds[[#Headers],[nxt_call_dt]])*1</f>
        <v>46111</v>
      </c>
      <c r="K108" s="9" t="str" cm="1">
        <f t="array" ref="K108">_xll.BDP(bonds[[#This Row],[worksheet get]],bonds[[#Headers],[mty_typ]])</f>
        <v>CALLABLE</v>
      </c>
      <c r="L108" s="9" t="str" cm="1">
        <f t="array" ref="L108">_xll.BDP(bonds[[#This Row],[worksheet get]],bonds[[#Headers],[crncy]])</f>
        <v>EUR</v>
      </c>
      <c r="M108" s="10" cm="1">
        <f t="array" ref="M108">_xll.BDP(bonds[[#This Row],[worksheet get]],bonds[[#Headers],[amt_outstanding]])</f>
        <v>500000000</v>
      </c>
      <c r="N108" s="9" t="str" cm="1">
        <f t="array" ref="N108">_xll.BDP(bonds[[#This Row],[worksheet get]],bonds[[#Headers],[industry_sector]])</f>
        <v>Utilities</v>
      </c>
      <c r="O108" s="9" t="str">
        <f>bonds[[#This Row],[security name]]&amp;" nc-"&amp;RIGHT(YEAR(bonds[[#This Row],[nxt_call_dt]]),2)</f>
        <v>ENBW 1 7/8 06/29/80 nc-26</v>
      </c>
    </row>
    <row r="109" spans="5:15" x14ac:dyDescent="0.25">
      <c r="E109" s="5" t="s">
        <v>332</v>
      </c>
      <c r="F109" s="5" t="str" cm="1">
        <f t="array" ref="F109">_xll.BDP(bonds[[#This Row],[worksheet get]],bonds[[#Headers],[ID_ISIN]])</f>
        <v>XS2035564629</v>
      </c>
      <c r="G109" s="5" t="str" cm="1">
        <f t="array" ref="G109">_xll.BDP(bonds[[#This Row],[worksheet get]],bonds[[#Headers],[security name]])</f>
        <v>ENBW 1 5/8 08/05/79</v>
      </c>
      <c r="H109" s="5" t="str" cm="1">
        <f t="array" ref="H109">_xll.BDP(bonds[[#This Row],[worksheet get]],bonds[[#Headers],[ticker]])</f>
        <v>ENBW</v>
      </c>
      <c r="I109" s="5" cm="1">
        <f t="array" ref="I109">_xll.BDP(bonds[[#This Row],[worksheet get]],bonds[[#Headers],[coupon]])</f>
        <v>1.625</v>
      </c>
      <c r="J109" s="8" cm="1">
        <f t="array" ref="J109">_xll.BDP(bonds[[#This Row],[worksheet get]],bonds[[#Headers],[nxt_call_dt]])*1</f>
        <v>46512</v>
      </c>
      <c r="K109" s="9" t="str" cm="1">
        <f t="array" ref="K109">_xll.BDP(bonds[[#This Row],[worksheet get]],bonds[[#Headers],[mty_typ]])</f>
        <v>CALLABLE</v>
      </c>
      <c r="L109" s="9" t="str" cm="1">
        <f t="array" ref="L109">_xll.BDP(bonds[[#This Row],[worksheet get]],bonds[[#Headers],[crncy]])</f>
        <v>EUR</v>
      </c>
      <c r="M109" s="10" cm="1">
        <f t="array" ref="M109">_xll.BDP(bonds[[#This Row],[worksheet get]],bonds[[#Headers],[amt_outstanding]])</f>
        <v>500000000</v>
      </c>
      <c r="N109" s="9" t="str" cm="1">
        <f t="array" ref="N109">_xll.BDP(bonds[[#This Row],[worksheet get]],bonds[[#Headers],[industry_sector]])</f>
        <v>Utilities</v>
      </c>
      <c r="O109" s="9" t="str">
        <f>bonds[[#This Row],[security name]]&amp;" nc-"&amp;RIGHT(YEAR(bonds[[#This Row],[nxt_call_dt]]),2)</f>
        <v>ENBW 1 5/8 08/05/79 nc-27</v>
      </c>
    </row>
    <row r="110" spans="5:15" x14ac:dyDescent="0.25">
      <c r="E110" s="5" t="s">
        <v>333</v>
      </c>
      <c r="F110" s="5" t="str" cm="1">
        <f t="array" ref="F110">_xll.BDP(bonds[[#This Row],[worksheet get]],bonds[[#Headers],[ID_ISIN]])</f>
        <v>XS1498442521</v>
      </c>
      <c r="G110" s="5" t="str" cm="1">
        <f t="array" ref="G110">_xll.BDP(bonds[[#This Row],[worksheet get]],bonds[[#Headers],[security name]])</f>
        <v>ENBW 5 1/8 04/05/77</v>
      </c>
      <c r="H110" s="5" t="str" cm="1">
        <f t="array" ref="H110">_xll.BDP(bonds[[#This Row],[worksheet get]],bonds[[#Headers],[ticker]])</f>
        <v>ENBW</v>
      </c>
      <c r="I110" s="5" cm="1">
        <f t="array" ref="I110">_xll.BDP(bonds[[#This Row],[worksheet get]],bonds[[#Headers],[coupon]])</f>
        <v>5.125</v>
      </c>
      <c r="J110" s="8" cm="1">
        <f t="array" ref="J110">_xll.BDP(bonds[[#This Row],[worksheet get]],bonds[[#Headers],[nxt_call_dt]])*1</f>
        <v>44566</v>
      </c>
      <c r="K110" s="9" t="str" cm="1">
        <f t="array" ref="K110">_xll.BDP(bonds[[#This Row],[worksheet get]],bonds[[#Headers],[mty_typ]])</f>
        <v>CALLABLE</v>
      </c>
      <c r="L110" s="9" t="str" cm="1">
        <f t="array" ref="L110">_xll.BDP(bonds[[#This Row],[worksheet get]],bonds[[#Headers],[crncy]])</f>
        <v>USD</v>
      </c>
      <c r="M110" s="10" cm="1">
        <f t="array" ref="M110">_xll.BDP(bonds[[#This Row],[worksheet get]],bonds[[#Headers],[amt_outstanding]])</f>
        <v>300000000</v>
      </c>
      <c r="N110" s="9" t="str" cm="1">
        <f t="array" ref="N110">_xll.BDP(bonds[[#This Row],[worksheet get]],bonds[[#Headers],[industry_sector]])</f>
        <v>Utilities</v>
      </c>
      <c r="O110" s="9" t="str">
        <f>bonds[[#This Row],[security name]]&amp;" nc-"&amp;RIGHT(YEAR(bonds[[#This Row],[nxt_call_dt]]),2)</f>
        <v>ENBW 5 1/8 04/05/77 nc-22</v>
      </c>
    </row>
    <row r="111" spans="5:15" x14ac:dyDescent="0.25">
      <c r="E111" s="5" t="s">
        <v>334</v>
      </c>
      <c r="F111" s="5" t="str" cm="1">
        <f t="array" ref="F111">_xll.BDP(bonds[[#This Row],[worksheet get]],bonds[[#Headers],[ID_ISIN]])</f>
        <v>XS1219498141</v>
      </c>
      <c r="G111" s="5" t="str" cm="1">
        <f t="array" ref="G111">_xll.BDP(bonds[[#This Row],[worksheet get]],bonds[[#Headers],[security name]])</f>
        <v>RWE 2 3/4 04/21/75</v>
      </c>
      <c r="H111" s="5" t="str" cm="1">
        <f t="array" ref="H111">_xll.BDP(bonds[[#This Row],[worksheet get]],bonds[[#Headers],[ticker]])</f>
        <v>RWE</v>
      </c>
      <c r="I111" s="5" cm="1">
        <f t="array" ref="I111">_xll.BDP(bonds[[#This Row],[worksheet get]],bonds[[#Headers],[coupon]])</f>
        <v>2.75</v>
      </c>
      <c r="J111" s="8" cm="1">
        <f t="array" ref="J111">_xll.BDP(bonds[[#This Row],[worksheet get]],bonds[[#Headers],[nxt_call_dt]])*1</f>
        <v>44125</v>
      </c>
      <c r="K111" s="9" t="str" cm="1">
        <f t="array" ref="K111">_xll.BDP(bonds[[#This Row],[worksheet get]],bonds[[#Headers],[mty_typ]])</f>
        <v>CALLABLE</v>
      </c>
      <c r="L111" s="9" t="str" cm="1">
        <f t="array" ref="L111">_xll.BDP(bonds[[#This Row],[worksheet get]],bonds[[#Headers],[crncy]])</f>
        <v>EUR</v>
      </c>
      <c r="M111" s="10" cm="1">
        <f t="array" ref="M111">_xll.BDP(bonds[[#This Row],[worksheet get]],bonds[[#Headers],[amt_outstanding]])</f>
        <v>538951000</v>
      </c>
      <c r="N111" s="9" t="str" cm="1">
        <f t="array" ref="N111">_xll.BDP(bonds[[#This Row],[worksheet get]],bonds[[#Headers],[industry_sector]])</f>
        <v>Utilities</v>
      </c>
      <c r="O111" s="9" t="str">
        <f>bonds[[#This Row],[security name]]&amp;" nc-"&amp;RIGHT(YEAR(bonds[[#This Row],[nxt_call_dt]]),2)</f>
        <v>RWE 2 3/4 04/21/75 nc-20</v>
      </c>
    </row>
    <row r="112" spans="5:15" x14ac:dyDescent="0.25">
      <c r="E112" s="5" t="s">
        <v>335</v>
      </c>
      <c r="F112" s="5" t="str" cm="1">
        <f t="array" ref="F112">_xll.BDP(bonds[[#This Row],[worksheet get]],bonds[[#Headers],[ID_ISIN]])</f>
        <v>XS1219499032</v>
      </c>
      <c r="G112" s="5" t="str" cm="1">
        <f t="array" ref="G112">_xll.BDP(bonds[[#This Row],[worksheet get]],bonds[[#Headers],[security name]])</f>
        <v>RWE 3 1/2 04/21/75</v>
      </c>
      <c r="H112" s="5" t="str" cm="1">
        <f t="array" ref="H112">_xll.BDP(bonds[[#This Row],[worksheet get]],bonds[[#Headers],[ticker]])</f>
        <v>RWE</v>
      </c>
      <c r="I112" s="5" cm="1">
        <f t="array" ref="I112">_xll.BDP(bonds[[#This Row],[worksheet get]],bonds[[#Headers],[coupon]])</f>
        <v>3.5</v>
      </c>
      <c r="J112" s="8" cm="1">
        <f t="array" ref="J112">_xll.BDP(bonds[[#This Row],[worksheet get]],bonds[[#Headers],[nxt_call_dt]])*1</f>
        <v>45768</v>
      </c>
      <c r="K112" s="9" t="str" cm="1">
        <f t="array" ref="K112">_xll.BDP(bonds[[#This Row],[worksheet get]],bonds[[#Headers],[mty_typ]])</f>
        <v>CALLABLE</v>
      </c>
      <c r="L112" s="9" t="str" cm="1">
        <f t="array" ref="L112">_xll.BDP(bonds[[#This Row],[worksheet get]],bonds[[#Headers],[crncy]])</f>
        <v>EUR</v>
      </c>
      <c r="M112" s="10" cm="1">
        <f t="array" ref="M112">_xll.BDP(bonds[[#This Row],[worksheet get]],bonds[[#Headers],[amt_outstanding]])</f>
        <v>281680000</v>
      </c>
      <c r="N112" s="9" t="str" cm="1">
        <f t="array" ref="N112">_xll.BDP(bonds[[#This Row],[worksheet get]],bonds[[#Headers],[industry_sector]])</f>
        <v>Utilities</v>
      </c>
      <c r="O112" s="9" t="str">
        <f>bonds[[#This Row],[security name]]&amp;" nc-"&amp;RIGHT(YEAR(bonds[[#This Row],[nxt_call_dt]]),2)</f>
        <v>RWE 3 1/2 04/21/75 nc-25</v>
      </c>
    </row>
    <row r="113" spans="5:15" x14ac:dyDescent="0.25">
      <c r="E113" s="5" t="s">
        <v>336</v>
      </c>
      <c r="F113" s="5" t="str" cm="1">
        <f t="array" ref="F113">_xll.BDP(bonds[[#This Row],[worksheet get]],bonds[[#Headers],[ID_ISIN]])</f>
        <v>XS1254119750</v>
      </c>
      <c r="G113" s="5" t="str" cm="1">
        <f t="array" ref="G113">_xll.BDP(bonds[[#This Row],[worksheet get]],bonds[[#Headers],[security name]])</f>
        <v>RWE 6 5/8 07/30/75</v>
      </c>
      <c r="H113" s="5" t="str" cm="1">
        <f t="array" ref="H113">_xll.BDP(bonds[[#This Row],[worksheet get]],bonds[[#Headers],[ticker]])</f>
        <v>RWE</v>
      </c>
      <c r="I113" s="5" cm="1">
        <f t="array" ref="I113">_xll.BDP(bonds[[#This Row],[worksheet get]],bonds[[#Headers],[coupon]])</f>
        <v>6.625</v>
      </c>
      <c r="J113" s="8" cm="1">
        <f t="array" ref="J113">_xll.BDP(bonds[[#This Row],[worksheet get]],bonds[[#Headers],[nxt_call_dt]])*1</f>
        <v>46111</v>
      </c>
      <c r="K113" s="9" t="str" cm="1">
        <f t="array" ref="K113">_xll.BDP(bonds[[#This Row],[worksheet get]],bonds[[#Headers],[mty_typ]])</f>
        <v>CALLABLE</v>
      </c>
      <c r="L113" s="9" t="str" cm="1">
        <f t="array" ref="L113">_xll.BDP(bonds[[#This Row],[worksheet get]],bonds[[#Headers],[crncy]])</f>
        <v>USD</v>
      </c>
      <c r="M113" s="10" cm="1">
        <f t="array" ref="M113">_xll.BDP(bonds[[#This Row],[worksheet get]],bonds[[#Headers],[amt_outstanding]])</f>
        <v>317360000</v>
      </c>
      <c r="N113" s="9" t="str" cm="1">
        <f t="array" ref="N113">_xll.BDP(bonds[[#This Row],[worksheet get]],bonds[[#Headers],[industry_sector]])</f>
        <v>Utilities</v>
      </c>
      <c r="O113" s="9" t="str">
        <f>bonds[[#This Row],[security name]]&amp;" nc-"&amp;RIGHT(YEAR(bonds[[#This Row],[nxt_call_dt]]),2)</f>
        <v>RWE 6 5/8 07/30/75 nc-26</v>
      </c>
    </row>
    <row r="114" spans="5:15" x14ac:dyDescent="0.25">
      <c r="E114" s="5" t="s">
        <v>337</v>
      </c>
      <c r="F114" s="5" t="str" cm="1">
        <f t="array" ref="F114">_xll.BDP(bonds[[#This Row],[worksheet get]],bonds[[#Headers],[ID_ISIN]])</f>
        <v>XS1591694481</v>
      </c>
      <c r="G114" s="5" t="str" cm="1">
        <f t="array" ref="G114">_xll.BDP(bonds[[#This Row],[worksheet get]],bonds[[#Headers],[security name]])</f>
        <v>TENN 2.995 PERP</v>
      </c>
      <c r="H114" s="5" t="str" cm="1">
        <f t="array" ref="H114">_xll.BDP(bonds[[#This Row],[worksheet get]],bonds[[#Headers],[ticker]])</f>
        <v>TENN</v>
      </c>
      <c r="I114" s="5" cm="1">
        <f t="array" ref="I114">_xll.BDP(bonds[[#This Row],[worksheet get]],bonds[[#Headers],[coupon]])</f>
        <v>2.9950000000000001</v>
      </c>
      <c r="J114" s="8" cm="1">
        <f t="array" ref="J114">_xll.BDP(bonds[[#This Row],[worksheet get]],bonds[[#Headers],[nxt_call_dt]])*1</f>
        <v>45352</v>
      </c>
      <c r="K114" s="9" t="str" cm="1">
        <f t="array" ref="K114">_xll.BDP(bonds[[#This Row],[worksheet get]],bonds[[#Headers],[mty_typ]])</f>
        <v>PERP/CALL</v>
      </c>
      <c r="L114" s="9" t="str" cm="1">
        <f t="array" ref="L114">_xll.BDP(bonds[[#This Row],[worksheet get]],bonds[[#Headers],[crncy]])</f>
        <v>EUR</v>
      </c>
      <c r="M114" s="10" cm="1">
        <f t="array" ref="M114">_xll.BDP(bonds[[#This Row],[worksheet get]],bonds[[#Headers],[amt_outstanding]])</f>
        <v>1100000000</v>
      </c>
      <c r="N114" s="9" t="str" cm="1">
        <f t="array" ref="N114">_xll.BDP(bonds[[#This Row],[worksheet get]],bonds[[#Headers],[industry_sector]])</f>
        <v>Utilities</v>
      </c>
      <c r="O114" s="9" t="str">
        <f>bonds[[#This Row],[security name]]&amp;" nc-"&amp;RIGHT(YEAR(bonds[[#This Row],[nxt_call_dt]]),2)</f>
        <v>TENN 2.995 PERP nc-24</v>
      </c>
    </row>
    <row r="115" spans="5:15" x14ac:dyDescent="0.25">
      <c r="E115" s="5" t="s">
        <v>338</v>
      </c>
      <c r="F115" s="5" t="str" cm="1">
        <f t="array" ref="F115">_xll.BDP(bonds[[#This Row],[worksheet get]],bonds[[#Headers],[ID_ISIN]])</f>
        <v>XS1205618470</v>
      </c>
      <c r="G115" s="5" t="str" cm="1">
        <f t="array" ref="G115">_xll.BDP(bonds[[#This Row],[worksheet get]],bonds[[#Headers],[security name]])</f>
        <v>VATFAL 3 03/19/77</v>
      </c>
      <c r="H115" s="5" t="str" cm="1">
        <f t="array" ref="H115">_xll.BDP(bonds[[#This Row],[worksheet get]],bonds[[#Headers],[ticker]])</f>
        <v>VATFAL</v>
      </c>
      <c r="I115" s="5" cm="1">
        <f t="array" ref="I115">_xll.BDP(bonds[[#This Row],[worksheet get]],bonds[[#Headers],[coupon]])</f>
        <v>3</v>
      </c>
      <c r="J115" s="8" cm="1">
        <f t="array" ref="J115">_xll.BDP(bonds[[#This Row],[worksheet get]],bonds[[#Headers],[nxt_call_dt]])*1</f>
        <v>46465</v>
      </c>
      <c r="K115" s="9" t="str" cm="1">
        <f t="array" ref="K115">_xll.BDP(bonds[[#This Row],[worksheet get]],bonds[[#Headers],[mty_typ]])</f>
        <v>CALLABLE</v>
      </c>
      <c r="L115" s="9" t="str" cm="1">
        <f t="array" ref="L115">_xll.BDP(bonds[[#This Row],[worksheet get]],bonds[[#Headers],[crncy]])</f>
        <v>EUR</v>
      </c>
      <c r="M115" s="10" cm="1">
        <f t="array" ref="M115">_xll.BDP(bonds[[#This Row],[worksheet get]],bonds[[#Headers],[amt_outstanding]])</f>
        <v>1000000000</v>
      </c>
      <c r="N115" s="9" t="str" cm="1">
        <f t="array" ref="N115">_xll.BDP(bonds[[#This Row],[worksheet get]],bonds[[#Headers],[industry_sector]])</f>
        <v>Utilities</v>
      </c>
      <c r="O115" s="9" t="str">
        <f>bonds[[#This Row],[security name]]&amp;" nc-"&amp;RIGHT(YEAR(bonds[[#This Row],[nxt_call_dt]]),2)</f>
        <v>VATFAL 3 03/19/77 nc-27</v>
      </c>
    </row>
    <row r="116" spans="5:15" x14ac:dyDescent="0.25">
      <c r="E116" s="5" t="s">
        <v>339</v>
      </c>
      <c r="F116" s="5" t="str" cm="1">
        <f t="array" ref="F116">_xll.BDP(bonds[[#This Row],[worksheet get]],bonds[[#Headers],[ID_ISIN]])</f>
        <v>XS1322373017</v>
      </c>
      <c r="G116" s="5" t="str" cm="1">
        <f t="array" ref="G116">_xll.BDP(bonds[[#This Row],[worksheet get]],bonds[[#Headers],[security name]])</f>
        <v>VATFAL 6.1 11/19/78</v>
      </c>
      <c r="H116" s="5" t="str" cm="1">
        <f t="array" ref="H116">_xll.BDP(bonds[[#This Row],[worksheet get]],bonds[[#Headers],[ticker]])</f>
        <v>VATFAL</v>
      </c>
      <c r="I116" s="5" cm="1">
        <f t="array" ref="I116">_xll.BDP(bonds[[#This Row],[worksheet get]],bonds[[#Headers],[coupon]])</f>
        <v>6.1</v>
      </c>
      <c r="J116" s="8" cm="1">
        <f t="array" ref="J116">_xll.BDP(bonds[[#This Row],[worksheet get]],bonds[[#Headers],[nxt_call_dt]])*1</f>
        <v>45249</v>
      </c>
      <c r="K116" s="9" t="str" cm="1">
        <f t="array" ref="K116">_xll.BDP(bonds[[#This Row],[worksheet get]],bonds[[#Headers],[mty_typ]])</f>
        <v>CALLABLE</v>
      </c>
      <c r="L116" s="9" t="str" cm="1">
        <f t="array" ref="L116">_xll.BDP(bonds[[#This Row],[worksheet get]],bonds[[#Headers],[crncy]])</f>
        <v>USD</v>
      </c>
      <c r="M116" s="10" cm="1">
        <f t="array" ref="M116">_xll.BDP(bonds[[#This Row],[worksheet get]],bonds[[#Headers],[amt_outstanding]])</f>
        <v>400000000</v>
      </c>
      <c r="N116" s="9" t="str" cm="1">
        <f t="array" ref="N116">_xll.BDP(bonds[[#This Row],[worksheet get]],bonds[[#Headers],[industry_sector]])</f>
        <v>Utilities</v>
      </c>
      <c r="O116" s="9" t="str">
        <f>bonds[[#This Row],[security name]]&amp;" nc-"&amp;RIGHT(YEAR(bonds[[#This Row],[nxt_call_dt]]),2)</f>
        <v>VATFAL 6.1 11/19/78 nc-23</v>
      </c>
    </row>
    <row r="117" spans="5:15" x14ac:dyDescent="0.25">
      <c r="E117" s="5" t="s">
        <v>340</v>
      </c>
      <c r="F117" s="5" t="str" cm="1">
        <f t="array" ref="F117">_xll.BDP(bonds[[#This Row],[worksheet get]],bonds[[#Headers],[ID_ISIN]])</f>
        <v>XS1713463716</v>
      </c>
      <c r="G117" s="5" t="str" cm="1">
        <f t="array" ref="G117">_xll.BDP(bonds[[#This Row],[worksheet get]],bonds[[#Headers],[security name]])</f>
        <v>ENELIM 2 1/2 11/24/78</v>
      </c>
      <c r="H117" s="5" t="str" cm="1">
        <f t="array" ref="H117">_xll.BDP(bonds[[#This Row],[worksheet get]],bonds[[#Headers],[ticker]])</f>
        <v>ENELIM</v>
      </c>
      <c r="I117" s="5" cm="1">
        <f t="array" ref="I117">_xll.BDP(bonds[[#This Row],[worksheet get]],bonds[[#Headers],[coupon]])</f>
        <v>2.5</v>
      </c>
      <c r="J117" s="8" cm="1">
        <f t="array" ref="J117">_xll.BDP(bonds[[#This Row],[worksheet get]],bonds[[#Headers],[nxt_call_dt]])*1</f>
        <v>45162</v>
      </c>
      <c r="K117" s="9" t="str" cm="1">
        <f t="array" ref="K117">_xll.BDP(bonds[[#This Row],[worksheet get]],bonds[[#Headers],[mty_typ]])</f>
        <v>CALLABLE</v>
      </c>
      <c r="L117" s="9" t="str" cm="1">
        <f t="array" ref="L117">_xll.BDP(bonds[[#This Row],[worksheet get]],bonds[[#Headers],[crncy]])</f>
        <v>EUR</v>
      </c>
      <c r="M117" s="10" cm="1">
        <f t="array" ref="M117">_xll.BDP(bonds[[#This Row],[worksheet get]],bonds[[#Headers],[amt_outstanding]])</f>
        <v>750019000</v>
      </c>
      <c r="N117" s="9" t="str" cm="1">
        <f t="array" ref="N117">_xll.BDP(bonds[[#This Row],[worksheet get]],bonds[[#Headers],[industry_sector]])</f>
        <v>Utilities</v>
      </c>
      <c r="O117" s="9" t="str">
        <f>bonds[[#This Row],[security name]]&amp;" nc-"&amp;RIGHT(YEAR(bonds[[#This Row],[nxt_call_dt]]),2)</f>
        <v>ENELIM 2 1/2 11/24/78 nc-23</v>
      </c>
    </row>
    <row r="118" spans="5:15" x14ac:dyDescent="0.25">
      <c r="E118" s="5" t="s">
        <v>341</v>
      </c>
      <c r="F118" s="5" t="str" cm="1">
        <f t="array" ref="F118">_xll.BDP(bonds[[#This Row],[worksheet get]],bonds[[#Headers],[ID_ISIN]])</f>
        <v>XS0954675129</v>
      </c>
      <c r="G118" s="5" t="str" cm="1">
        <f t="array" ref="G118">_xll.BDP(bonds[[#This Row],[worksheet get]],bonds[[#Headers],[security name]])</f>
        <v>ENELIM 5.451 01/10/74</v>
      </c>
      <c r="H118" s="5" t="str" cm="1">
        <f t="array" ref="H118">_xll.BDP(bonds[[#This Row],[worksheet get]],bonds[[#Headers],[ticker]])</f>
        <v>ENELIM</v>
      </c>
      <c r="I118" s="5" cm="1">
        <f t="array" ref="I118">_xll.BDP(bonds[[#This Row],[worksheet get]],bonds[[#Headers],[coupon]])</f>
        <v>5.4509999999999996</v>
      </c>
      <c r="J118" s="8" cm="1">
        <f t="array" ref="J118">_xll.BDP(bonds[[#This Row],[worksheet get]],bonds[[#Headers],[nxt_call_dt]])*1</f>
        <v>45301</v>
      </c>
      <c r="K118" s="9" t="str" cm="1">
        <f t="array" ref="K118">_xll.BDP(bonds[[#This Row],[worksheet get]],bonds[[#Headers],[mty_typ]])</f>
        <v>CALLABLE</v>
      </c>
      <c r="L118" s="9" t="str" cm="1">
        <f t="array" ref="L118">_xll.BDP(bonds[[#This Row],[worksheet get]],bonds[[#Headers],[crncy]])</f>
        <v>EUR</v>
      </c>
      <c r="M118" s="10" cm="1">
        <f t="array" ref="M118">_xll.BDP(bonds[[#This Row],[worksheet get]],bonds[[#Headers],[amt_outstanding]])</f>
        <v>297423999.99999988</v>
      </c>
      <c r="N118" s="9" t="str" cm="1">
        <f t="array" ref="N118">_xll.BDP(bonds[[#This Row],[worksheet get]],bonds[[#Headers],[industry_sector]])</f>
        <v>Utilities</v>
      </c>
      <c r="O118" s="9" t="str">
        <f>bonds[[#This Row],[security name]]&amp;" nc-"&amp;RIGHT(YEAR(bonds[[#This Row],[nxt_call_dt]]),2)</f>
        <v>ENELIM 5.451 01/10/74 nc-24</v>
      </c>
    </row>
    <row r="119" spans="5:15" x14ac:dyDescent="0.25">
      <c r="E119" s="5" t="s">
        <v>342</v>
      </c>
      <c r="F119" s="5" t="str" cm="1">
        <f t="array" ref="F119">_xll.BDP(bonds[[#This Row],[worksheet get]],bonds[[#Headers],[ID_ISIN]])</f>
        <v>XS2000719992</v>
      </c>
      <c r="G119" s="5" t="str" cm="1">
        <f t="array" ref="G119">_xll.BDP(bonds[[#This Row],[worksheet get]],bonds[[#Headers],[security name]])</f>
        <v>ENELIM 3 1/2 05/24/80</v>
      </c>
      <c r="H119" s="5" t="str" cm="1">
        <f t="array" ref="H119">_xll.BDP(bonds[[#This Row],[worksheet get]],bonds[[#Headers],[ticker]])</f>
        <v>ENELIM</v>
      </c>
      <c r="I119" s="5" cm="1">
        <f t="array" ref="I119">_xll.BDP(bonds[[#This Row],[worksheet get]],bonds[[#Headers],[coupon]])</f>
        <v>3.5</v>
      </c>
      <c r="J119" s="8" cm="1">
        <f t="array" ref="J119">_xll.BDP(bonds[[#This Row],[worksheet get]],bonds[[#Headers],[nxt_call_dt]])*1</f>
        <v>45712</v>
      </c>
      <c r="K119" s="9" t="str" cm="1">
        <f t="array" ref="K119">_xll.BDP(bonds[[#This Row],[worksheet get]],bonds[[#Headers],[mty_typ]])</f>
        <v>CALLABLE</v>
      </c>
      <c r="L119" s="9" t="str" cm="1">
        <f t="array" ref="L119">_xll.BDP(bonds[[#This Row],[worksheet get]],bonds[[#Headers],[crncy]])</f>
        <v>EUR</v>
      </c>
      <c r="M119" s="10" cm="1">
        <f t="array" ref="M119">_xll.BDP(bonds[[#This Row],[worksheet get]],bonds[[#Headers],[amt_outstanding]])</f>
        <v>900001000</v>
      </c>
      <c r="N119" s="9" t="str" cm="1">
        <f t="array" ref="N119">_xll.BDP(bonds[[#This Row],[worksheet get]],bonds[[#Headers],[industry_sector]])</f>
        <v>Utilities</v>
      </c>
      <c r="O119" s="9" t="str">
        <f>bonds[[#This Row],[security name]]&amp;" nc-"&amp;RIGHT(YEAR(bonds[[#This Row],[nxt_call_dt]]),2)</f>
        <v>ENELIM 3 1/2 05/24/80 nc-25</v>
      </c>
    </row>
    <row r="120" spans="5:15" x14ac:dyDescent="0.25">
      <c r="E120" s="5" t="s">
        <v>343</v>
      </c>
      <c r="F120" s="5" t="str" cm="1">
        <f t="array" ref="F120">_xll.BDP(bonds[[#This Row],[worksheet get]],bonds[[#Headers],[ID_ISIN]])</f>
        <v>XS1713463559</v>
      </c>
      <c r="G120" s="5" t="str" cm="1">
        <f t="array" ref="G120">_xll.BDP(bonds[[#This Row],[worksheet get]],bonds[[#Headers],[security name]])</f>
        <v>ENELIM 3 3/8 11/24/81</v>
      </c>
      <c r="H120" s="5" t="str" cm="1">
        <f t="array" ref="H120">_xll.BDP(bonds[[#This Row],[worksheet get]],bonds[[#Headers],[ticker]])</f>
        <v>ENELIM</v>
      </c>
      <c r="I120" s="5" cm="1">
        <f t="array" ref="I120">_xll.BDP(bonds[[#This Row],[worksheet get]],bonds[[#Headers],[coupon]])</f>
        <v>3.375</v>
      </c>
      <c r="J120" s="8" cm="1">
        <f t="array" ref="J120">_xll.BDP(bonds[[#This Row],[worksheet get]],bonds[[#Headers],[nxt_call_dt]])*1</f>
        <v>46258</v>
      </c>
      <c r="K120" s="9" t="str" cm="1">
        <f t="array" ref="K120">_xll.BDP(bonds[[#This Row],[worksheet get]],bonds[[#Headers],[mty_typ]])</f>
        <v>CALLABLE</v>
      </c>
      <c r="L120" s="9" t="str" cm="1">
        <f t="array" ref="L120">_xll.BDP(bonds[[#This Row],[worksheet get]],bonds[[#Headers],[crncy]])</f>
        <v>EUR</v>
      </c>
      <c r="M120" s="10" cm="1">
        <f t="array" ref="M120">_xll.BDP(bonds[[#This Row],[worksheet get]],bonds[[#Headers],[amt_outstanding]])</f>
        <v>750000000</v>
      </c>
      <c r="N120" s="9" t="str" cm="1">
        <f t="array" ref="N120">_xll.BDP(bonds[[#This Row],[worksheet get]],bonds[[#Headers],[industry_sector]])</f>
        <v>Utilities</v>
      </c>
      <c r="O120" s="9" t="str">
        <f>bonds[[#This Row],[security name]]&amp;" nc-"&amp;RIGHT(YEAR(bonds[[#This Row],[nxt_call_dt]]),2)</f>
        <v>ENELIM 3 3/8 11/24/81 nc-26</v>
      </c>
    </row>
    <row r="121" spans="5:15" x14ac:dyDescent="0.25">
      <c r="E121" s="5" t="s">
        <v>344</v>
      </c>
      <c r="F121" s="5" t="str" cm="1">
        <f t="array" ref="F121">_xll.BDP(bonds[[#This Row],[worksheet get]],bonds[[#Headers],[ID_ISIN]])</f>
        <v>XS0954674825</v>
      </c>
      <c r="G121" s="5" t="str" cm="1">
        <f t="array" ref="G121">_xll.BDP(bonds[[#This Row],[worksheet get]],bonds[[#Headers],[security name]])</f>
        <v>ENELIM 7 3/4 09/10/75</v>
      </c>
      <c r="H121" s="5" t="str" cm="1">
        <f t="array" ref="H121">_xll.BDP(bonds[[#This Row],[worksheet get]],bonds[[#Headers],[ticker]])</f>
        <v>ENELIM</v>
      </c>
      <c r="I121" s="5" cm="1">
        <f t="array" ref="I121">_xll.BDP(bonds[[#This Row],[worksheet get]],bonds[[#Headers],[coupon]])</f>
        <v>7.75</v>
      </c>
      <c r="J121" s="8" cm="1">
        <f t="array" ref="J121">_xll.BDP(bonds[[#This Row],[worksheet get]],bonds[[#Headers],[nxt_call_dt]])*1</f>
        <v>44084</v>
      </c>
      <c r="K121" s="9" t="str" cm="1">
        <f t="array" ref="K121">_xll.BDP(bonds[[#This Row],[worksheet get]],bonds[[#Headers],[mty_typ]])</f>
        <v>CALLABLE</v>
      </c>
      <c r="L121" s="9" t="str" cm="1">
        <f t="array" ref="L121">_xll.BDP(bonds[[#This Row],[worksheet get]],bonds[[#Headers],[crncy]])</f>
        <v>GBP</v>
      </c>
      <c r="M121" s="10" cm="1">
        <f t="array" ref="M121">_xll.BDP(bonds[[#This Row],[worksheet get]],bonds[[#Headers],[amt_outstanding]])</f>
        <v>400000000</v>
      </c>
      <c r="N121" s="9" t="str" cm="1">
        <f t="array" ref="N121">_xll.BDP(bonds[[#This Row],[worksheet get]],bonds[[#Headers],[industry_sector]])</f>
        <v>Utilities</v>
      </c>
      <c r="O121" s="9" t="str">
        <f>bonds[[#This Row],[security name]]&amp;" nc-"&amp;RIGHT(YEAR(bonds[[#This Row],[nxt_call_dt]]),2)</f>
        <v>ENELIM 7 3/4 09/10/75 nc-20</v>
      </c>
    </row>
    <row r="122" spans="5:15" x14ac:dyDescent="0.25">
      <c r="E122" s="5" t="s">
        <v>345</v>
      </c>
      <c r="F122" s="5" t="str" cm="1">
        <f t="array" ref="F122">_xll.BDP(bonds[[#This Row],[worksheet get]],bonds[[#Headers],[ID_ISIN]])</f>
        <v>XS1014987355</v>
      </c>
      <c r="G122" s="5" t="str" cm="1">
        <f t="array" ref="G122">_xll.BDP(bonds[[#This Row],[worksheet get]],bonds[[#Headers],[security name]])</f>
        <v>ENELIM 6 5/8 09/15/76</v>
      </c>
      <c r="H122" s="5" t="str" cm="1">
        <f t="array" ref="H122">_xll.BDP(bonds[[#This Row],[worksheet get]],bonds[[#Headers],[ticker]])</f>
        <v>ENELIM</v>
      </c>
      <c r="I122" s="5" cm="1">
        <f t="array" ref="I122">_xll.BDP(bonds[[#This Row],[worksheet get]],bonds[[#Headers],[coupon]])</f>
        <v>6.625</v>
      </c>
      <c r="J122" s="8" cm="1">
        <f t="array" ref="J122">_xll.BDP(bonds[[#This Row],[worksheet get]],bonds[[#Headers],[nxt_call_dt]])*1</f>
        <v>44454</v>
      </c>
      <c r="K122" s="9" t="str" cm="1">
        <f t="array" ref="K122">_xll.BDP(bonds[[#This Row],[worksheet get]],bonds[[#Headers],[mty_typ]])</f>
        <v>CALLABLE</v>
      </c>
      <c r="L122" s="9" t="str" cm="1">
        <f t="array" ref="L122">_xll.BDP(bonds[[#This Row],[worksheet get]],bonds[[#Headers],[crncy]])</f>
        <v>GBP</v>
      </c>
      <c r="M122" s="10" cm="1">
        <f t="array" ref="M122">_xll.BDP(bonds[[#This Row],[worksheet get]],bonds[[#Headers],[amt_outstanding]])</f>
        <v>500000000</v>
      </c>
      <c r="N122" s="9" t="str" cm="1">
        <f t="array" ref="N122">_xll.BDP(bonds[[#This Row],[worksheet get]],bonds[[#Headers],[industry_sector]])</f>
        <v>Utilities</v>
      </c>
      <c r="O122" s="9" t="str">
        <f>bonds[[#This Row],[security name]]&amp;" nc-"&amp;RIGHT(YEAR(bonds[[#This Row],[nxt_call_dt]]),2)</f>
        <v>ENELIM 6 5/8 09/15/76 nc-21</v>
      </c>
    </row>
    <row r="123" spans="5:15" x14ac:dyDescent="0.25">
      <c r="E123" s="5" t="s">
        <v>346</v>
      </c>
      <c r="F123" s="5" t="str" cm="1">
        <f t="array" ref="F123">_xll.BDP(bonds[[#This Row],[worksheet get]],bonds[[#Headers],[ID_ISIN]])</f>
        <v>US29265WAA62</v>
      </c>
      <c r="G123" s="5" t="str" cm="1">
        <f t="array" ref="G123">_xll.BDP(bonds[[#This Row],[worksheet get]],bonds[[#Headers],[security name]])</f>
        <v>ENELIM 8 3/4 09/24/73</v>
      </c>
      <c r="H123" s="5" t="str" cm="1">
        <f t="array" ref="H123">_xll.BDP(bonds[[#This Row],[worksheet get]],bonds[[#Headers],[ticker]])</f>
        <v>ENELIM</v>
      </c>
      <c r="I123" s="5" cm="1">
        <f t="array" ref="I123">_xll.BDP(bonds[[#This Row],[worksheet get]],bonds[[#Headers],[coupon]])</f>
        <v>8.75</v>
      </c>
      <c r="J123" s="8" cm="1">
        <f t="array" ref="J123">_xll.BDP(bonds[[#This Row],[worksheet get]],bonds[[#Headers],[nxt_call_dt]])*1</f>
        <v>45193</v>
      </c>
      <c r="K123" s="9" t="str" cm="1">
        <f t="array" ref="K123">_xll.BDP(bonds[[#This Row],[worksheet get]],bonds[[#Headers],[mty_typ]])</f>
        <v>CALLABLE</v>
      </c>
      <c r="L123" s="9" t="str" cm="1">
        <f t="array" ref="L123">_xll.BDP(bonds[[#This Row],[worksheet get]],bonds[[#Headers],[crncy]])</f>
        <v>USD</v>
      </c>
      <c r="M123" s="10" cm="1">
        <f t="array" ref="M123">_xll.BDP(bonds[[#This Row],[worksheet get]],bonds[[#Headers],[amt_outstanding]])</f>
        <v>1250000000</v>
      </c>
      <c r="N123" s="9" t="str" cm="1">
        <f t="array" ref="N123">_xll.BDP(bonds[[#This Row],[worksheet get]],bonds[[#Headers],[industry_sector]])</f>
        <v>Utilities</v>
      </c>
      <c r="O123" s="9" t="str">
        <f>bonds[[#This Row],[security name]]&amp;" nc-"&amp;RIGHT(YEAR(bonds[[#This Row],[nxt_call_dt]]),2)</f>
        <v>ENELIM 8 3/4 09/24/73 nc-23</v>
      </c>
    </row>
    <row r="124" spans="5:15" x14ac:dyDescent="0.25">
      <c r="E124" s="5" t="s">
        <v>347</v>
      </c>
      <c r="F124" s="5" t="str" cm="1">
        <f t="array" ref="F124">_xll.BDP(bonds[[#This Row],[worksheet get]],bonds[[#Headers],[ID_ISIN]])</f>
        <v>XS1721244371</v>
      </c>
      <c r="G124" s="5" t="str" cm="1">
        <f t="array" ref="G124">_xll.BDP(bonds[[#This Row],[worksheet get]],bonds[[#Headers],[security name]])</f>
        <v>IBESM 1 7/8 PERP</v>
      </c>
      <c r="H124" s="5" t="str" cm="1">
        <f t="array" ref="H124">_xll.BDP(bonds[[#This Row],[worksheet get]],bonds[[#Headers],[ticker]])</f>
        <v>IBESM</v>
      </c>
      <c r="I124" s="5" cm="1">
        <f t="array" ref="I124">_xll.BDP(bonds[[#This Row],[worksheet get]],bonds[[#Headers],[coupon]])</f>
        <v>1.875</v>
      </c>
      <c r="J124" s="8" cm="1">
        <f t="array" ref="J124">_xll.BDP(bonds[[#This Row],[worksheet get]],bonds[[#Headers],[nxt_call_dt]])*1</f>
        <v>44979</v>
      </c>
      <c r="K124" s="9" t="str" cm="1">
        <f t="array" ref="K124">_xll.BDP(bonds[[#This Row],[worksheet get]],bonds[[#Headers],[mty_typ]])</f>
        <v>PERP/CALL</v>
      </c>
      <c r="L124" s="9" t="str" cm="1">
        <f t="array" ref="L124">_xll.BDP(bonds[[#This Row],[worksheet get]],bonds[[#Headers],[crncy]])</f>
        <v>EUR</v>
      </c>
      <c r="M124" s="10" cm="1">
        <f t="array" ref="M124">_xll.BDP(bonds[[#This Row],[worksheet get]],bonds[[#Headers],[amt_outstanding]])</f>
        <v>1000000000</v>
      </c>
      <c r="N124" s="9" t="str" cm="1">
        <f t="array" ref="N124">_xll.BDP(bonds[[#This Row],[worksheet get]],bonds[[#Headers],[industry_sector]])</f>
        <v>Utilities</v>
      </c>
      <c r="O124" s="9" t="str">
        <f>bonds[[#This Row],[security name]]&amp;" nc-"&amp;RIGHT(YEAR(bonds[[#This Row],[nxt_call_dt]]),2)</f>
        <v>IBESM 1 7/8 PERP nc-23</v>
      </c>
    </row>
    <row r="125" spans="5:15" x14ac:dyDescent="0.25">
      <c r="E125" s="5" t="s">
        <v>348</v>
      </c>
      <c r="F125" s="5" t="str" cm="1">
        <f t="array" ref="F125">_xll.BDP(bonds[[#This Row],[worksheet get]],bonds[[#Headers],[ID_ISIN]])</f>
        <v>XS1797138960</v>
      </c>
      <c r="G125" s="5" t="str" cm="1">
        <f t="array" ref="G125">_xll.BDP(bonds[[#This Row],[worksheet get]],bonds[[#Headers],[security name]])</f>
        <v>IBESM 2 5/8 PERP</v>
      </c>
      <c r="H125" s="5" t="str" cm="1">
        <f t="array" ref="H125">_xll.BDP(bonds[[#This Row],[worksheet get]],bonds[[#Headers],[ticker]])</f>
        <v>IBESM</v>
      </c>
      <c r="I125" s="5" cm="1">
        <f t="array" ref="I125">_xll.BDP(bonds[[#This Row],[worksheet get]],bonds[[#Headers],[coupon]])</f>
        <v>2.625</v>
      </c>
      <c r="J125" s="8" cm="1">
        <f t="array" ref="J125">_xll.BDP(bonds[[#This Row],[worksheet get]],bonds[[#Headers],[nxt_call_dt]])*1</f>
        <v>45377</v>
      </c>
      <c r="K125" s="9" t="str" cm="1">
        <f t="array" ref="K125">_xll.BDP(bonds[[#This Row],[worksheet get]],bonds[[#Headers],[mty_typ]])</f>
        <v>PERP/CALL</v>
      </c>
      <c r="L125" s="9" t="str" cm="1">
        <f t="array" ref="L125">_xll.BDP(bonds[[#This Row],[worksheet get]],bonds[[#Headers],[crncy]])</f>
        <v>EUR</v>
      </c>
      <c r="M125" s="10" cm="1">
        <f t="array" ref="M125">_xll.BDP(bonds[[#This Row],[worksheet get]],bonds[[#Headers],[amt_outstanding]])</f>
        <v>700000000</v>
      </c>
      <c r="N125" s="9" t="str" cm="1">
        <f t="array" ref="N125">_xll.BDP(bonds[[#This Row],[worksheet get]],bonds[[#Headers],[industry_sector]])</f>
        <v>Utilities</v>
      </c>
      <c r="O125" s="9" t="str">
        <f>bonds[[#This Row],[security name]]&amp;" nc-"&amp;RIGHT(YEAR(bonds[[#This Row],[nxt_call_dt]]),2)</f>
        <v>IBESM 2 5/8 PERP nc-24</v>
      </c>
    </row>
    <row r="126" spans="5:15" x14ac:dyDescent="0.25">
      <c r="E126" s="5" t="s">
        <v>349</v>
      </c>
      <c r="F126" s="5" t="str" cm="1">
        <f t="array" ref="F126">_xll.BDP(bonds[[#This Row],[worksheet get]],bonds[[#Headers],[ID_ISIN]])</f>
        <v>XS1890845875</v>
      </c>
      <c r="G126" s="5" t="str" cm="1">
        <f t="array" ref="G126">_xll.BDP(bonds[[#This Row],[worksheet get]],bonds[[#Headers],[security name]])</f>
        <v>IBESM 3 1/4 PERP</v>
      </c>
      <c r="H126" s="5" t="str" cm="1">
        <f t="array" ref="H126">_xll.BDP(bonds[[#This Row],[worksheet get]],bonds[[#Headers],[ticker]])</f>
        <v>IBESM</v>
      </c>
      <c r="I126" s="5" cm="1">
        <f t="array" ref="I126">_xll.BDP(bonds[[#This Row],[worksheet get]],bonds[[#Headers],[coupon]])</f>
        <v>3.25</v>
      </c>
      <c r="J126" s="8" cm="1">
        <f t="array" ref="J126">_xll.BDP(bonds[[#This Row],[worksheet get]],bonds[[#Headers],[nxt_call_dt]])*1</f>
        <v>45608</v>
      </c>
      <c r="K126" s="9" t="str" cm="1">
        <f t="array" ref="K126">_xll.BDP(bonds[[#This Row],[worksheet get]],bonds[[#Headers],[mty_typ]])</f>
        <v>PERP/CALL</v>
      </c>
      <c r="L126" s="9" t="str" cm="1">
        <f t="array" ref="L126">_xll.BDP(bonds[[#This Row],[worksheet get]],bonds[[#Headers],[crncy]])</f>
        <v>EUR</v>
      </c>
      <c r="M126" s="10" cm="1">
        <f t="array" ref="M126">_xll.BDP(bonds[[#This Row],[worksheet get]],bonds[[#Headers],[amt_outstanding]])</f>
        <v>800000000</v>
      </c>
      <c r="N126" s="9" t="str" cm="1">
        <f t="array" ref="N126">_xll.BDP(bonds[[#This Row],[worksheet get]],bonds[[#Headers],[industry_sector]])</f>
        <v>Utilities</v>
      </c>
      <c r="O126" s="9" t="str">
        <f>bonds[[#This Row],[security name]]&amp;" nc-"&amp;RIGHT(YEAR(bonds[[#This Row],[nxt_call_dt]]),2)</f>
        <v>IBESM 3 1/4 PERP nc-24</v>
      </c>
    </row>
    <row r="127" spans="5:15" x14ac:dyDescent="0.25">
      <c r="E127" s="5" t="s">
        <v>53</v>
      </c>
      <c r="F127" s="5" t="str" cm="1">
        <f t="array" ref="F127">_xll.BDP(bonds[[#This Row],[worksheet get]],bonds[[#Headers],[ID_ISIN]])</f>
        <v>XS1139494493</v>
      </c>
      <c r="G127" s="5" t="str" cm="1">
        <f t="array" ref="G127">_xll.BDP(bonds[[#This Row],[worksheet get]],bonds[[#Headers],[security name]])</f>
        <v>NTGYSM 4 1/8 PERP</v>
      </c>
      <c r="H127" s="5" t="str" cm="1">
        <f t="array" ref="H127">_xll.BDP(bonds[[#This Row],[worksheet get]],bonds[[#Headers],[ticker]])</f>
        <v>NTGYSM</v>
      </c>
      <c r="I127" s="5" cm="1">
        <f t="array" ref="I127">_xll.BDP(bonds[[#This Row],[worksheet get]],bonds[[#Headers],[coupon]])</f>
        <v>4.125</v>
      </c>
      <c r="J127" s="8" cm="1">
        <f t="array" ref="J127">_xll.BDP(bonds[[#This Row],[worksheet get]],bonds[[#Headers],[nxt_call_dt]])*1</f>
        <v>44883</v>
      </c>
      <c r="K127" s="9" t="str" cm="1">
        <f t="array" ref="K127">_xll.BDP(bonds[[#This Row],[worksheet get]],bonds[[#Headers],[mty_typ]])</f>
        <v>PERP/CALL</v>
      </c>
      <c r="L127" s="9" t="str" cm="1">
        <f t="array" ref="L127">_xll.BDP(bonds[[#This Row],[worksheet get]],bonds[[#Headers],[crncy]])</f>
        <v>EUR</v>
      </c>
      <c r="M127" s="10" cm="1">
        <f t="array" ref="M127">_xll.BDP(bonds[[#This Row],[worksheet get]],bonds[[#Headers],[amt_outstanding]])</f>
        <v>1000000000</v>
      </c>
      <c r="N127" s="9" t="str" cm="1">
        <f t="array" ref="N127">_xll.BDP(bonds[[#This Row],[worksheet get]],bonds[[#Headers],[industry_sector]])</f>
        <v>Utilities</v>
      </c>
      <c r="O127" s="9" t="str">
        <f>bonds[[#This Row],[security name]]&amp;" nc-"&amp;RIGHT(YEAR(bonds[[#This Row],[nxt_call_dt]]),2)</f>
        <v>NTGYSM 4 1/8 PERP nc-22</v>
      </c>
    </row>
    <row r="128" spans="5:15" x14ac:dyDescent="0.25">
      <c r="E128" s="5" t="s">
        <v>54</v>
      </c>
      <c r="F128" s="5" t="str" cm="1">
        <f t="array" ref="F128">_xll.BDP(bonds[[#This Row],[worksheet get]],bonds[[#Headers],[ID_ISIN]])</f>
        <v>XS1224710399</v>
      </c>
      <c r="G128" s="5" t="str" cm="1">
        <f t="array" ref="G128">_xll.BDP(bonds[[#This Row],[worksheet get]],bonds[[#Headers],[security name]])</f>
        <v>NTGYSM 3 3/8 PERP</v>
      </c>
      <c r="H128" s="5" t="str" cm="1">
        <f t="array" ref="H128">_xll.BDP(bonds[[#This Row],[worksheet get]],bonds[[#Headers],[ticker]])</f>
        <v>NTGYSM</v>
      </c>
      <c r="I128" s="5" cm="1">
        <f t="array" ref="I128">_xll.BDP(bonds[[#This Row],[worksheet get]],bonds[[#Headers],[coupon]])</f>
        <v>3.375</v>
      </c>
      <c r="J128" s="8" cm="1">
        <f t="array" ref="J128">_xll.BDP(bonds[[#This Row],[worksheet get]],bonds[[#Headers],[nxt_call_dt]])*1</f>
        <v>45406</v>
      </c>
      <c r="K128" s="9" t="str" cm="1">
        <f t="array" ref="K128">_xll.BDP(bonds[[#This Row],[worksheet get]],bonds[[#Headers],[mty_typ]])</f>
        <v>PERP/CALL</v>
      </c>
      <c r="L128" s="9" t="str" cm="1">
        <f t="array" ref="L128">_xll.BDP(bonds[[#This Row],[worksheet get]],bonds[[#Headers],[crncy]])</f>
        <v>EUR</v>
      </c>
      <c r="M128" s="10" cm="1">
        <f t="array" ref="M128">_xll.BDP(bonds[[#This Row],[worksheet get]],bonds[[#Headers],[amt_outstanding]])</f>
        <v>500000000</v>
      </c>
      <c r="N128" s="9" t="str" cm="1">
        <f t="array" ref="N128">_xll.BDP(bonds[[#This Row],[worksheet get]],bonds[[#Headers],[industry_sector]])</f>
        <v>Utilities</v>
      </c>
      <c r="O128" s="9" t="str">
        <f>bonds[[#This Row],[security name]]&amp;" nc-"&amp;RIGHT(YEAR(bonds[[#This Row],[nxt_call_dt]]),2)</f>
        <v>NTGYSM 3 3/8 PERP nc-24</v>
      </c>
    </row>
    <row r="129" spans="5:15" x14ac:dyDescent="0.25">
      <c r="E129" s="5" t="s">
        <v>350</v>
      </c>
      <c r="F129" s="5" t="str" cm="1">
        <f t="array" ref="F129">_xll.BDP(bonds[[#This Row],[worksheet get]],bonds[[#Headers],[ID_ISIN]])</f>
        <v>XS1216020161</v>
      </c>
      <c r="G129" s="5" t="str" cm="1">
        <f t="array" ref="G129">_xll.BDP(bonds[[#This Row],[worksheet get]],bonds[[#Headers],[security name]])</f>
        <v>CNALN 3 04/10/76</v>
      </c>
      <c r="H129" s="5" t="str" cm="1">
        <f t="array" ref="H129">_xll.BDP(bonds[[#This Row],[worksheet get]],bonds[[#Headers],[ticker]])</f>
        <v>CNALN</v>
      </c>
      <c r="I129" s="5" cm="1">
        <f t="array" ref="I129">_xll.BDP(bonds[[#This Row],[worksheet get]],bonds[[#Headers],[coupon]])</f>
        <v>3</v>
      </c>
      <c r="J129" s="8" cm="1">
        <f t="array" ref="J129">_xll.BDP(bonds[[#This Row],[worksheet get]],bonds[[#Headers],[nxt_call_dt]])*1</f>
        <v>44296</v>
      </c>
      <c r="K129" s="9" t="str" cm="1">
        <f t="array" ref="K129">_xll.BDP(bonds[[#This Row],[worksheet get]],bonds[[#Headers],[mty_typ]])</f>
        <v>CALLABLE</v>
      </c>
      <c r="L129" s="9" t="str" cm="1">
        <f t="array" ref="L129">_xll.BDP(bonds[[#This Row],[worksheet get]],bonds[[#Headers],[crncy]])</f>
        <v>EUR</v>
      </c>
      <c r="M129" s="10" cm="1">
        <f t="array" ref="M129">_xll.BDP(bonds[[#This Row],[worksheet get]],bonds[[#Headers],[amt_outstanding]])</f>
        <v>750000000</v>
      </c>
      <c r="N129" s="9" t="str" cm="1">
        <f t="array" ref="N129">_xll.BDP(bonds[[#This Row],[worksheet get]],bonds[[#Headers],[industry_sector]])</f>
        <v>Utilities</v>
      </c>
      <c r="O129" s="9" t="str">
        <f>bonds[[#This Row],[security name]]&amp;" nc-"&amp;RIGHT(YEAR(bonds[[#This Row],[nxt_call_dt]]),2)</f>
        <v>CNALN 3 04/10/76 nc-21</v>
      </c>
    </row>
    <row r="130" spans="5:15" x14ac:dyDescent="0.25">
      <c r="E130" s="5" t="s">
        <v>351</v>
      </c>
      <c r="F130" s="5" t="str" cm="1">
        <f t="array" ref="F130">_xll.BDP(bonds[[#This Row],[worksheet get]],bonds[[#Headers],[ID_ISIN]])</f>
        <v>XS1216019585</v>
      </c>
      <c r="G130" s="5" t="str" cm="1">
        <f t="array" ref="G130">_xll.BDP(bonds[[#This Row],[worksheet get]],bonds[[#Headers],[security name]])</f>
        <v>CNALN 5 1/4 04/10/75</v>
      </c>
      <c r="H130" s="5" t="str" cm="1">
        <f t="array" ref="H130">_xll.BDP(bonds[[#This Row],[worksheet get]],bonds[[#Headers],[ticker]])</f>
        <v>CNALN</v>
      </c>
      <c r="I130" s="5" cm="1">
        <f t="array" ref="I130">_xll.BDP(bonds[[#This Row],[worksheet get]],bonds[[#Headers],[coupon]])</f>
        <v>5.25</v>
      </c>
      <c r="J130" s="8" cm="1">
        <f t="array" ref="J130">_xll.BDP(bonds[[#This Row],[worksheet get]],bonds[[#Headers],[nxt_call_dt]])*1</f>
        <v>45757</v>
      </c>
      <c r="K130" s="9" t="str" cm="1">
        <f t="array" ref="K130">_xll.BDP(bonds[[#This Row],[worksheet get]],bonds[[#Headers],[mty_typ]])</f>
        <v>CALLABLE</v>
      </c>
      <c r="L130" s="9" t="str" cm="1">
        <f t="array" ref="L130">_xll.BDP(bonds[[#This Row],[worksheet get]],bonds[[#Headers],[crncy]])</f>
        <v>GBP</v>
      </c>
      <c r="M130" s="10" cm="1">
        <f t="array" ref="M130">_xll.BDP(bonds[[#This Row],[worksheet get]],bonds[[#Headers],[amt_outstanding]])</f>
        <v>450000000</v>
      </c>
      <c r="N130" s="9" t="str" cm="1">
        <f t="array" ref="N130">_xll.BDP(bonds[[#This Row],[worksheet get]],bonds[[#Headers],[industry_sector]])</f>
        <v>Utilities</v>
      </c>
      <c r="O130" s="9" t="str">
        <f>bonds[[#This Row],[security name]]&amp;" nc-"&amp;RIGHT(YEAR(bonds[[#This Row],[nxt_call_dt]]),2)</f>
        <v>CNALN 5 1/4 04/10/75 nc-25</v>
      </c>
    </row>
    <row r="131" spans="5:15" x14ac:dyDescent="0.25">
      <c r="E131" s="5" t="s">
        <v>80</v>
      </c>
      <c r="F131" s="5" t="str" cm="1">
        <f t="array" ref="F131">_xll.BDP(bonds[[#This Row],[worksheet get]],bonds[[#Headers],[ID_ISIN]])</f>
        <v>XS2010044977</v>
      </c>
      <c r="G131" s="5" t="str" cm="1">
        <f t="array" ref="G131">_xll.BDP(bonds[[#This Row],[worksheet get]],bonds[[#Headers],[security name]])</f>
        <v>NGGLN 1 5/8 12/05/79</v>
      </c>
      <c r="H131" s="5" t="str" cm="1">
        <f t="array" ref="H131">_xll.BDP(bonds[[#This Row],[worksheet get]],bonds[[#Headers],[ticker]])</f>
        <v>NGGLN</v>
      </c>
      <c r="I131" s="5" cm="1">
        <f t="array" ref="I131">_xll.BDP(bonds[[#This Row],[worksheet get]],bonds[[#Headers],[coupon]])</f>
        <v>1.625</v>
      </c>
      <c r="J131" s="8" cm="1">
        <f t="array" ref="J131">_xll.BDP(bonds[[#This Row],[worksheet get]],bonds[[#Headers],[nxt_call_dt]])*1</f>
        <v>45540</v>
      </c>
      <c r="K131" s="9" t="str" cm="1">
        <f t="array" ref="K131">_xll.BDP(bonds[[#This Row],[worksheet get]],bonds[[#Headers],[mty_typ]])</f>
        <v>CALLABLE</v>
      </c>
      <c r="L131" s="9" t="str" cm="1">
        <f t="array" ref="L131">_xll.BDP(bonds[[#This Row],[worksheet get]],bonds[[#Headers],[crncy]])</f>
        <v>EUR</v>
      </c>
      <c r="M131" s="10" cm="1">
        <f t="array" ref="M131">_xll.BDP(bonds[[#This Row],[worksheet get]],bonds[[#Headers],[amt_outstanding]])</f>
        <v>500000000</v>
      </c>
      <c r="N131" s="9" t="str" cm="1">
        <f t="array" ref="N131">_xll.BDP(bonds[[#This Row],[worksheet get]],bonds[[#Headers],[industry_sector]])</f>
        <v>Utilities</v>
      </c>
      <c r="O131" s="9" t="str">
        <f>bonds[[#This Row],[security name]]&amp;" nc-"&amp;RIGHT(YEAR(bonds[[#This Row],[nxt_call_dt]]),2)</f>
        <v>NGGLN 1 5/8 12/05/79 nc-24</v>
      </c>
    </row>
    <row r="132" spans="5:15" x14ac:dyDescent="0.25">
      <c r="E132" s="5" t="s">
        <v>81</v>
      </c>
      <c r="F132" s="5" t="str" cm="1">
        <f t="array" ref="F132">_xll.BDP(bonds[[#This Row],[worksheet get]],bonds[[#Headers],[ID_ISIN]])</f>
        <v>XS2010045511</v>
      </c>
      <c r="G132" s="5" t="str" cm="1">
        <f t="array" ref="G132">_xll.BDP(bonds[[#This Row],[worksheet get]],bonds[[#Headers],[security name]])</f>
        <v>NGGLN 2 1/8 09/05/82</v>
      </c>
      <c r="H132" s="5" t="str" cm="1">
        <f t="array" ref="H132">_xll.BDP(bonds[[#This Row],[worksheet get]],bonds[[#Headers],[ticker]])</f>
        <v>NGGLN</v>
      </c>
      <c r="I132" s="5" cm="1">
        <f t="array" ref="I132">_xll.BDP(bonds[[#This Row],[worksheet get]],bonds[[#Headers],[coupon]])</f>
        <v>2.125</v>
      </c>
      <c r="J132" s="8" cm="1">
        <f t="array" ref="J132">_xll.BDP(bonds[[#This Row],[worksheet get]],bonds[[#Headers],[nxt_call_dt]])*1</f>
        <v>46543</v>
      </c>
      <c r="K132" s="9" t="str" cm="1">
        <f t="array" ref="K132">_xll.BDP(bonds[[#This Row],[worksheet get]],bonds[[#Headers],[mty_typ]])</f>
        <v>CALLABLE</v>
      </c>
      <c r="L132" s="9" t="str" cm="1">
        <f t="array" ref="L132">_xll.BDP(bonds[[#This Row],[worksheet get]],bonds[[#Headers],[crncy]])</f>
        <v>EUR</v>
      </c>
      <c r="M132" s="10" cm="1">
        <f t="array" ref="M132">_xll.BDP(bonds[[#This Row],[worksheet get]],bonds[[#Headers],[amt_outstanding]])</f>
        <v>750000000</v>
      </c>
      <c r="N132" s="9" t="str" cm="1">
        <f t="array" ref="N132">_xll.BDP(bonds[[#This Row],[worksheet get]],bonds[[#Headers],[industry_sector]])</f>
        <v>Utilities</v>
      </c>
      <c r="O132" s="9" t="str">
        <f>bonds[[#This Row],[security name]]&amp;" nc-"&amp;RIGHT(YEAR(bonds[[#This Row],[nxt_call_dt]]),2)</f>
        <v>NGGLN 2 1/8 09/05/82 nc-27</v>
      </c>
    </row>
    <row r="133" spans="5:15" x14ac:dyDescent="0.25">
      <c r="E133" s="5" t="s">
        <v>352</v>
      </c>
      <c r="F133" s="5" t="str" cm="1">
        <f t="array" ref="F133">_xll.BDP(bonds[[#This Row],[worksheet get]],bonds[[#Headers],[ID_ISIN]])</f>
        <v>XS0903532090</v>
      </c>
      <c r="G133" s="5" t="str" cm="1">
        <f t="array" ref="G133">_xll.BDP(bonds[[#This Row],[worksheet get]],bonds[[#Headers],[security name]])</f>
        <v>NGGLN 5 5/8 06/18/73</v>
      </c>
      <c r="H133" s="5" t="str" cm="1">
        <f t="array" ref="H133">_xll.BDP(bonds[[#This Row],[worksheet get]],bonds[[#Headers],[ticker]])</f>
        <v>NGGLN</v>
      </c>
      <c r="I133" s="5" cm="1">
        <f t="array" ref="I133">_xll.BDP(bonds[[#This Row],[worksheet get]],bonds[[#Headers],[coupon]])</f>
        <v>5.625</v>
      </c>
      <c r="J133" s="8" cm="1">
        <f t="array" ref="J133">_xll.BDP(bonds[[#This Row],[worksheet get]],bonds[[#Headers],[nxt_call_dt]])*1</f>
        <v>45826</v>
      </c>
      <c r="K133" s="9" t="str" cm="1">
        <f t="array" ref="K133">_xll.BDP(bonds[[#This Row],[worksheet get]],bonds[[#Headers],[mty_typ]])</f>
        <v>CALLABLE</v>
      </c>
      <c r="L133" s="9" t="str" cm="1">
        <f t="array" ref="L133">_xll.BDP(bonds[[#This Row],[worksheet get]],bonds[[#Headers],[crncy]])</f>
        <v>GBP</v>
      </c>
      <c r="M133" s="10" cm="1">
        <f t="array" ref="M133">_xll.BDP(bonds[[#This Row],[worksheet get]],bonds[[#Headers],[amt_outstanding]])</f>
        <v>1000000000</v>
      </c>
      <c r="N133" s="9" t="str" cm="1">
        <f t="array" ref="N133">_xll.BDP(bonds[[#This Row],[worksheet get]],bonds[[#Headers],[industry_sector]])</f>
        <v>Utilities</v>
      </c>
      <c r="O133" s="9" t="str">
        <f>bonds[[#This Row],[security name]]&amp;" nc-"&amp;RIGHT(YEAR(bonds[[#This Row],[nxt_call_dt]]),2)</f>
        <v>NGGLN 5 5/8 06/18/73 nc-25</v>
      </c>
    </row>
    <row r="134" spans="5:15" x14ac:dyDescent="0.25">
      <c r="E134" s="5" t="s">
        <v>353</v>
      </c>
      <c r="F134" s="5" t="str" cm="1">
        <f t="array" ref="F134">_xll.BDP(bonds[[#This Row],[worksheet get]],bonds[[#Headers],[ID_ISIN]])</f>
        <v>XS1196714429</v>
      </c>
      <c r="G134" s="5" t="str" cm="1">
        <f t="array" ref="G134">_xll.BDP(bonds[[#This Row],[worksheet get]],bonds[[#Headers],[security name]])</f>
        <v>SSELN 3 7/8 PERP</v>
      </c>
      <c r="H134" s="5" t="str" cm="1">
        <f t="array" ref="H134">_xll.BDP(bonds[[#This Row],[worksheet get]],bonds[[#Headers],[ticker]])</f>
        <v>SSELN</v>
      </c>
      <c r="I134" s="5" cm="1">
        <f t="array" ref="I134">_xll.BDP(bonds[[#This Row],[worksheet get]],bonds[[#Headers],[coupon]])</f>
        <v>3.875</v>
      </c>
      <c r="J134" s="8" cm="1">
        <f t="array" ref="J134">_xll.BDP(bonds[[#This Row],[worksheet get]],bonds[[#Headers],[nxt_call_dt]])*1</f>
        <v>44084</v>
      </c>
      <c r="K134" s="9" t="str" cm="1">
        <f t="array" ref="K134">_xll.BDP(bonds[[#This Row],[worksheet get]],bonds[[#Headers],[mty_typ]])</f>
        <v>PERP/CALL</v>
      </c>
      <c r="L134" s="9" t="str" cm="1">
        <f t="array" ref="L134">_xll.BDP(bonds[[#This Row],[worksheet get]],bonds[[#Headers],[crncy]])</f>
        <v>GBP</v>
      </c>
      <c r="M134" s="10" cm="1">
        <f t="array" ref="M134">_xll.BDP(bonds[[#This Row],[worksheet get]],bonds[[#Headers],[amt_outstanding]])</f>
        <v>750000000</v>
      </c>
      <c r="N134" s="9" t="str" cm="1">
        <f t="array" ref="N134">_xll.BDP(bonds[[#This Row],[worksheet get]],bonds[[#Headers],[industry_sector]])</f>
        <v>Utilities</v>
      </c>
      <c r="O134" s="9" t="str">
        <f>bonds[[#This Row],[security name]]&amp;" nc-"&amp;RIGHT(YEAR(bonds[[#This Row],[nxt_call_dt]]),2)</f>
        <v>SSELN 3 7/8 PERP nc-20</v>
      </c>
    </row>
    <row r="135" spans="5:15" x14ac:dyDescent="0.25">
      <c r="E135" s="5" t="s">
        <v>354</v>
      </c>
      <c r="F135" s="5" t="str" cm="1">
        <f t="array" ref="F135">_xll.BDP(bonds[[#This Row],[worksheet get]],bonds[[#Headers],[ID_ISIN]])</f>
        <v>XS1572349865</v>
      </c>
      <c r="G135" s="5" t="str" cm="1">
        <f t="array" ref="G135">_xll.BDP(bonds[[#This Row],[worksheet get]],bonds[[#Headers],[security name]])</f>
        <v>SSELN 3 5/8 09/16/77</v>
      </c>
      <c r="H135" s="5" t="str" cm="1">
        <f t="array" ref="H135">_xll.BDP(bonds[[#This Row],[worksheet get]],bonds[[#Headers],[ticker]])</f>
        <v>SSELN</v>
      </c>
      <c r="I135" s="5" cm="1">
        <f t="array" ref="I135">_xll.BDP(bonds[[#This Row],[worksheet get]],bonds[[#Headers],[coupon]])</f>
        <v>3.625</v>
      </c>
      <c r="J135" s="8" cm="1">
        <f t="array" ref="J135">_xll.BDP(bonds[[#This Row],[worksheet get]],bonds[[#Headers],[nxt_call_dt]])*1</f>
        <v>44728</v>
      </c>
      <c r="K135" s="9" t="str" cm="1">
        <f t="array" ref="K135">_xll.BDP(bonds[[#This Row],[worksheet get]],bonds[[#Headers],[mty_typ]])</f>
        <v>CALLABLE</v>
      </c>
      <c r="L135" s="9" t="str" cm="1">
        <f t="array" ref="L135">_xll.BDP(bonds[[#This Row],[worksheet get]],bonds[[#Headers],[crncy]])</f>
        <v>GBP</v>
      </c>
      <c r="M135" s="10" cm="1">
        <f t="array" ref="M135">_xll.BDP(bonds[[#This Row],[worksheet get]],bonds[[#Headers],[amt_outstanding]])</f>
        <v>300000000</v>
      </c>
      <c r="N135" s="9" t="str" cm="1">
        <f t="array" ref="N135">_xll.BDP(bonds[[#This Row],[worksheet get]],bonds[[#Headers],[industry_sector]])</f>
        <v>Utilities</v>
      </c>
      <c r="O135" s="9" t="str">
        <f>bonds[[#This Row],[security name]]&amp;" nc-"&amp;RIGHT(YEAR(bonds[[#This Row],[nxt_call_dt]]),2)</f>
        <v>SSELN 3 5/8 09/16/77 nc-22</v>
      </c>
    </row>
    <row r="136" spans="5:15" x14ac:dyDescent="0.25">
      <c r="E136" s="5" t="s">
        <v>355</v>
      </c>
      <c r="F136" s="5" t="str" cm="1">
        <f t="array" ref="F136">_xll.BDP(bonds[[#This Row],[worksheet get]],bonds[[#Headers],[ID_ISIN]])</f>
        <v>XS2195190876</v>
      </c>
      <c r="G136" s="5" t="str" cm="1">
        <f t="array" ref="G136">_xll.BDP(bonds[[#This Row],[worksheet get]],bonds[[#Headers],[security name]])</f>
        <v>SSELN 3.74 PERP</v>
      </c>
      <c r="H136" s="5" t="str" cm="1">
        <f t="array" ref="H136">_xll.BDP(bonds[[#This Row],[worksheet get]],bonds[[#Headers],[ticker]])</f>
        <v>SSELN</v>
      </c>
      <c r="I136" s="5" cm="1">
        <f t="array" ref="I136">_xll.BDP(bonds[[#This Row],[worksheet get]],bonds[[#Headers],[coupon]])</f>
        <v>3.74</v>
      </c>
      <c r="J136" s="8" cm="1">
        <f t="array" ref="J136">_xll.BDP(bonds[[#This Row],[worksheet get]],bonds[[#Headers],[nxt_call_dt]])*1</f>
        <v>46036</v>
      </c>
      <c r="K136" s="9" t="str" cm="1">
        <f t="array" ref="K136">_xll.BDP(bonds[[#This Row],[worksheet get]],bonds[[#Headers],[mty_typ]])</f>
        <v>PERP/CALL</v>
      </c>
      <c r="L136" s="9" t="str" cm="1">
        <f t="array" ref="L136">_xll.BDP(bonds[[#This Row],[worksheet get]],bonds[[#Headers],[crncy]])</f>
        <v>GBP</v>
      </c>
      <c r="M136" s="10" cm="1">
        <f t="array" ref="M136">_xll.BDP(bonds[[#This Row],[worksheet get]],bonds[[#Headers],[amt_outstanding]])</f>
        <v>600000000</v>
      </c>
      <c r="N136" s="9" t="str" cm="1">
        <f t="array" ref="N136">_xll.BDP(bonds[[#This Row],[worksheet get]],bonds[[#Headers],[industry_sector]])</f>
        <v>Utilities</v>
      </c>
      <c r="O136" s="9" t="str">
        <f>bonds[[#This Row],[security name]]&amp;" nc-"&amp;RIGHT(YEAR(bonds[[#This Row],[nxt_call_dt]]),2)</f>
        <v>SSELN 3.74 PERP nc-26</v>
      </c>
    </row>
    <row r="137" spans="5:15" x14ac:dyDescent="0.25">
      <c r="E137" s="5" t="s">
        <v>356</v>
      </c>
      <c r="F137" s="5" t="str" cm="1">
        <f t="array" ref="F137">_xll.BDP(bonds[[#This Row],[worksheet get]],bonds[[#Headers],[ID_ISIN]])</f>
        <v>XS1196713298</v>
      </c>
      <c r="G137" s="5" t="str" cm="1">
        <f t="array" ref="G137">_xll.BDP(bonds[[#This Row],[worksheet get]],bonds[[#Headers],[security name]])</f>
        <v>SSELN 2 3/8 PERP</v>
      </c>
      <c r="H137" s="5" t="str" cm="1">
        <f t="array" ref="H137">_xll.BDP(bonds[[#This Row],[worksheet get]],bonds[[#Headers],[ticker]])</f>
        <v>SSELN</v>
      </c>
      <c r="I137" s="5" cm="1">
        <f t="array" ref="I137">_xll.BDP(bonds[[#This Row],[worksheet get]],bonds[[#Headers],[coupon]])</f>
        <v>2.375</v>
      </c>
      <c r="J137" s="8" cm="1">
        <f t="array" ref="J137">_xll.BDP(bonds[[#This Row],[worksheet get]],bonds[[#Headers],[nxt_call_dt]])*1</f>
        <v>44287</v>
      </c>
      <c r="K137" s="9" t="str" cm="1">
        <f t="array" ref="K137">_xll.BDP(bonds[[#This Row],[worksheet get]],bonds[[#Headers],[mty_typ]])</f>
        <v>PERP/CALL</v>
      </c>
      <c r="L137" s="9" t="str" cm="1">
        <f t="array" ref="L137">_xll.BDP(bonds[[#This Row],[worksheet get]],bonds[[#Headers],[crncy]])</f>
        <v>EUR</v>
      </c>
      <c r="M137" s="10" cm="1">
        <f t="array" ref="M137">_xll.BDP(bonds[[#This Row],[worksheet get]],bonds[[#Headers],[amt_outstanding]])</f>
        <v>600000000</v>
      </c>
      <c r="N137" s="9" t="str" cm="1">
        <f t="array" ref="N137">_xll.BDP(bonds[[#This Row],[worksheet get]],bonds[[#Headers],[industry_sector]])</f>
        <v>Utilities</v>
      </c>
      <c r="O137" s="9" t="str">
        <f>bonds[[#This Row],[security name]]&amp;" nc-"&amp;RIGHT(YEAR(bonds[[#This Row],[nxt_call_dt]]),2)</f>
        <v>SSELN 2 3/8 PERP nc-21</v>
      </c>
    </row>
    <row r="138" spans="5:15" x14ac:dyDescent="0.25">
      <c r="E138" s="5" t="s">
        <v>357</v>
      </c>
      <c r="F138" s="5" t="str" cm="1">
        <f t="array" ref="F138">_xll.BDP(bonds[[#This Row],[worksheet get]],bonds[[#Headers],[ID_ISIN]])</f>
        <v>XS2195190520</v>
      </c>
      <c r="G138" s="5" t="str" cm="1">
        <f t="array" ref="G138">_xll.BDP(bonds[[#This Row],[worksheet get]],bonds[[#Headers],[security name]])</f>
        <v>SSELN 3 1/8 PERP</v>
      </c>
      <c r="H138" s="5" t="str" cm="1">
        <f t="array" ref="H138">_xll.BDP(bonds[[#This Row],[worksheet get]],bonds[[#Headers],[ticker]])</f>
        <v>SSELN</v>
      </c>
      <c r="I138" s="5" cm="1">
        <f t="array" ref="I138">_xll.BDP(bonds[[#This Row],[worksheet get]],bonds[[#Headers],[coupon]])</f>
        <v>3.125</v>
      </c>
      <c r="J138" s="8" cm="1">
        <f t="array" ref="J138">_xll.BDP(bonds[[#This Row],[worksheet get]],bonds[[#Headers],[nxt_call_dt]])*1</f>
        <v>46491</v>
      </c>
      <c r="K138" s="9" t="str" cm="1">
        <f t="array" ref="K138">_xll.BDP(bonds[[#This Row],[worksheet get]],bonds[[#Headers],[mty_typ]])</f>
        <v>PERP/CALL</v>
      </c>
      <c r="L138" s="9" t="str" cm="1">
        <f t="array" ref="L138">_xll.BDP(bonds[[#This Row],[worksheet get]],bonds[[#Headers],[crncy]])</f>
        <v>EUR</v>
      </c>
      <c r="M138" s="10" cm="1">
        <f t="array" ref="M138">_xll.BDP(bonds[[#This Row],[worksheet get]],bonds[[#Headers],[amt_outstanding]])</f>
        <v>500000000</v>
      </c>
      <c r="N138" s="9" t="str" cm="1">
        <f t="array" ref="N138">_xll.BDP(bonds[[#This Row],[worksheet get]],bonds[[#Headers],[industry_sector]])</f>
        <v>Utilities</v>
      </c>
      <c r="O138" s="9" t="str">
        <f>bonds[[#This Row],[security name]]&amp;" nc-"&amp;RIGHT(YEAR(bonds[[#This Row],[nxt_call_dt]]),2)</f>
        <v>SSELN 3 1/8 PERP nc-27</v>
      </c>
    </row>
    <row r="139" spans="5:15" x14ac:dyDescent="0.25">
      <c r="E139" s="5" t="s">
        <v>358</v>
      </c>
      <c r="F139" s="5" t="str" cm="1">
        <f t="array" ref="F139">_xll.BDP(bonds[[#This Row],[worksheet get]],bonds[[#Headers],[ID_ISIN]])</f>
        <v>XS1572343744</v>
      </c>
      <c r="G139" s="5" t="str" cm="1">
        <f t="array" ref="G139">_xll.BDP(bonds[[#This Row],[worksheet get]],bonds[[#Headers],[security name]])</f>
        <v>SSELN 4 3/4 09/16/77</v>
      </c>
      <c r="H139" s="5" t="str" cm="1">
        <f t="array" ref="H139">_xll.BDP(bonds[[#This Row],[worksheet get]],bonds[[#Headers],[ticker]])</f>
        <v>SSELN</v>
      </c>
      <c r="I139" s="5" cm="1">
        <f t="array" ref="I139">_xll.BDP(bonds[[#This Row],[worksheet get]],bonds[[#Headers],[coupon]])</f>
        <v>4.75</v>
      </c>
      <c r="J139" s="8" cm="1">
        <f t="array" ref="J139">_xll.BDP(bonds[[#This Row],[worksheet get]],bonds[[#Headers],[nxt_call_dt]])*1</f>
        <v>44728</v>
      </c>
      <c r="K139" s="9" t="str" cm="1">
        <f t="array" ref="K139">_xll.BDP(bonds[[#This Row],[worksheet get]],bonds[[#Headers],[mty_typ]])</f>
        <v>CALLABLE</v>
      </c>
      <c r="L139" s="9" t="str" cm="1">
        <f t="array" ref="L139">_xll.BDP(bonds[[#This Row],[worksheet get]],bonds[[#Headers],[crncy]])</f>
        <v>USD</v>
      </c>
      <c r="M139" s="10" cm="1">
        <f t="array" ref="M139">_xll.BDP(bonds[[#This Row],[worksheet get]],bonds[[#Headers],[amt_outstanding]])</f>
        <v>900000000</v>
      </c>
      <c r="N139" s="9" t="str" cm="1">
        <f t="array" ref="N139">_xll.BDP(bonds[[#This Row],[worksheet get]],bonds[[#Headers],[industry_sector]])</f>
        <v>Utilities</v>
      </c>
      <c r="O139" s="9" t="str">
        <f>bonds[[#This Row],[security name]]&amp;" nc-"&amp;RIGHT(YEAR(bonds[[#This Row],[nxt_call_dt]]),2)</f>
        <v>SSELN 4 3/4 09/16/77 nc-22</v>
      </c>
    </row>
    <row r="140" spans="5:15" x14ac:dyDescent="0.25">
      <c r="E140" s="5" t="s">
        <v>359</v>
      </c>
      <c r="F140" s="5" t="str" cm="1">
        <f t="array" ref="F140">_xll.BDP(bonds[[#This Row],[worksheet get]],bonds[[#Headers],[ID_ISIN]])</f>
        <v>XS1757377400</v>
      </c>
      <c r="G140" s="5" t="str" cm="1">
        <f t="array" ref="G140">_xll.BDP(bonds[[#This Row],[worksheet get]],bonds[[#Headers],[security name]])</f>
        <v>ALLRNV 1 5/8 PERP</v>
      </c>
      <c r="H140" s="5" t="str" cm="1">
        <f t="array" ref="H140">_xll.BDP(bonds[[#This Row],[worksheet get]],bonds[[#Headers],[ticker]])</f>
        <v>ALLRNV</v>
      </c>
      <c r="I140" s="5" cm="1">
        <f t="array" ref="I140">_xll.BDP(bonds[[#This Row],[worksheet get]],bonds[[#Headers],[coupon]])</f>
        <v>1.625</v>
      </c>
      <c r="J140" s="8" cm="1">
        <f t="array" ref="J140">_xll.BDP(bonds[[#This Row],[worksheet get]],bonds[[#Headers],[nxt_call_dt]])*1</f>
        <v>45746</v>
      </c>
      <c r="K140" s="9" t="str" cm="1">
        <f t="array" ref="K140">_xll.BDP(bonds[[#This Row],[worksheet get]],bonds[[#Headers],[mty_typ]])</f>
        <v>PERP/CALL</v>
      </c>
      <c r="L140" s="9" t="str" cm="1">
        <f t="array" ref="L140">_xll.BDP(bonds[[#This Row],[worksheet get]],bonds[[#Headers],[crncy]])</f>
        <v>EUR</v>
      </c>
      <c r="M140" s="10" cm="1">
        <f t="array" ref="M140">_xll.BDP(bonds[[#This Row],[worksheet get]],bonds[[#Headers],[amt_outstanding]])</f>
        <v>500000000</v>
      </c>
      <c r="N140" s="9" t="str" cm="1">
        <f t="array" ref="N140">_xll.BDP(bonds[[#This Row],[worksheet get]],bonds[[#Headers],[industry_sector]])</f>
        <v>Utilities</v>
      </c>
      <c r="O140" s="9" t="str">
        <f>bonds[[#This Row],[security name]]&amp;" nc-"&amp;RIGHT(YEAR(bonds[[#This Row],[nxt_call_dt]]),2)</f>
        <v>ALLRNV 1 5/8 PERP nc-25</v>
      </c>
    </row>
    <row r="141" spans="5:15" x14ac:dyDescent="0.25">
      <c r="E141" s="5" t="s">
        <v>360</v>
      </c>
      <c r="F141" s="5" t="str" cm="1">
        <f t="array" ref="F141">_xll.BDP(bonds[[#This Row],[worksheet get]],bonds[[#Headers],[ID_ISIN]])</f>
        <v>XS1227607402</v>
      </c>
      <c r="G141" s="5" t="str" cm="1">
        <f t="array" ref="G141">_xll.BDP(bonds[[#This Row],[worksheet get]],bonds[[#Headers],[security name]])</f>
        <v>ORSTED 3 11/06/15</v>
      </c>
      <c r="H141" s="5" t="str" cm="1">
        <f t="array" ref="H141">_xll.BDP(bonds[[#This Row],[worksheet get]],bonds[[#Headers],[ticker]])</f>
        <v>ORSTED</v>
      </c>
      <c r="I141" s="5" cm="1">
        <f t="array" ref="I141">_xll.BDP(bonds[[#This Row],[worksheet get]],bonds[[#Headers],[coupon]])</f>
        <v>3</v>
      </c>
      <c r="J141" s="8" t="e" cm="1">
        <f t="array" ref="J141">_xll.BDP(bonds[[#This Row],[worksheet get]],bonds[[#Headers],[nxt_call_dt]])*1</f>
        <v>#VALUE!</v>
      </c>
      <c r="K141" s="9" t="str" cm="1">
        <f t="array" ref="K141">_xll.BDP(bonds[[#This Row],[worksheet get]],bonds[[#Headers],[mty_typ]])</f>
        <v>CALLABLE</v>
      </c>
      <c r="L141" s="9" t="str" cm="1">
        <f t="array" ref="L141">_xll.BDP(bonds[[#This Row],[worksheet get]],bonds[[#Headers],[crncy]])</f>
        <v>EUR</v>
      </c>
      <c r="M141" s="10" cm="1">
        <f t="array" ref="M141">_xll.BDP(bonds[[#This Row],[worksheet get]],bonds[[#Headers],[amt_outstanding]])</f>
        <v>0</v>
      </c>
      <c r="N141" s="9" t="str" cm="1">
        <f t="array" ref="N141">_xll.BDP(bonds[[#This Row],[worksheet get]],bonds[[#Headers],[industry_sector]])</f>
        <v>Utilities</v>
      </c>
      <c r="O141" s="9" t="e">
        <f>bonds[[#This Row],[security name]]&amp;" nc-"&amp;RIGHT(YEAR(bonds[[#This Row],[nxt_call_dt]]),2)</f>
        <v>#VALUE!</v>
      </c>
    </row>
    <row r="142" spans="5:15" x14ac:dyDescent="0.25">
      <c r="E142" s="5" t="s">
        <v>89</v>
      </c>
      <c r="F142" s="5" t="str" cm="1">
        <f t="array" ref="F142">_xll.BDP(bonds[[#This Row],[worksheet get]],bonds[[#Headers],[ID_ISIN]])</f>
        <v>XS0943370543</v>
      </c>
      <c r="G142" s="5" t="str" cm="1">
        <f t="array" ref="G142">_xll.BDP(bonds[[#This Row],[worksheet get]],bonds[[#Headers],[security name]])</f>
        <v>ORSTED 6 1/4 06/26/13</v>
      </c>
      <c r="H142" s="5" t="str" cm="1">
        <f t="array" ref="H142">_xll.BDP(bonds[[#This Row],[worksheet get]],bonds[[#Headers],[ticker]])</f>
        <v>ORSTED</v>
      </c>
      <c r="I142" s="5" cm="1">
        <f t="array" ref="I142">_xll.BDP(bonds[[#This Row],[worksheet get]],bonds[[#Headers],[coupon]])</f>
        <v>6.25</v>
      </c>
      <c r="J142" s="8" cm="1">
        <f t="array" ref="J142">_xll.BDP(bonds[[#This Row],[worksheet get]],bonds[[#Headers],[nxt_call_dt]])*1</f>
        <v>45103</v>
      </c>
      <c r="K142" s="9" t="str" cm="1">
        <f t="array" ref="K142">_xll.BDP(bonds[[#This Row],[worksheet get]],bonds[[#Headers],[mty_typ]])</f>
        <v>CALLABLE</v>
      </c>
      <c r="L142" s="9" t="str" cm="1">
        <f t="array" ref="L142">_xll.BDP(bonds[[#This Row],[worksheet get]],bonds[[#Headers],[crncy]])</f>
        <v>EUR</v>
      </c>
      <c r="M142" s="10" cm="1">
        <f t="array" ref="M142">_xll.BDP(bonds[[#This Row],[worksheet get]],bonds[[#Headers],[amt_outstanding]])</f>
        <v>700000000</v>
      </c>
      <c r="N142" s="9" t="str" cm="1">
        <f t="array" ref="N142">_xll.BDP(bonds[[#This Row],[worksheet get]],bonds[[#Headers],[industry_sector]])</f>
        <v>Utilities</v>
      </c>
      <c r="O142" s="9" t="str">
        <f>bonds[[#This Row],[security name]]&amp;" nc-"&amp;RIGHT(YEAR(bonds[[#This Row],[nxt_call_dt]]),2)</f>
        <v>ORSTED 6 1/4 06/26/13 nc-23</v>
      </c>
    </row>
    <row r="143" spans="5:15" x14ac:dyDescent="0.25">
      <c r="E143" s="5" t="s">
        <v>361</v>
      </c>
      <c r="F143" s="5" t="str" cm="1">
        <f t="array" ref="F143">_xll.BDP(bonds[[#This Row],[worksheet get]],bonds[[#Headers],[ID_ISIN]])</f>
        <v>XS1720192696</v>
      </c>
      <c r="G143" s="5" t="str" cm="1">
        <f t="array" ref="G143">_xll.BDP(bonds[[#This Row],[worksheet get]],bonds[[#Headers],[security name]])</f>
        <v>ORSTED 2 1/4 11/24/17</v>
      </c>
      <c r="H143" s="5" t="str" cm="1">
        <f t="array" ref="H143">_xll.BDP(bonds[[#This Row],[worksheet get]],bonds[[#Headers],[ticker]])</f>
        <v>ORSTED</v>
      </c>
      <c r="I143" s="5" cm="1">
        <f t="array" ref="I143">_xll.BDP(bonds[[#This Row],[worksheet get]],bonds[[#Headers],[coupon]])</f>
        <v>2.25</v>
      </c>
      <c r="J143" s="8" cm="1">
        <f t="array" ref="J143">_xll.BDP(bonds[[#This Row],[worksheet get]],bonds[[#Headers],[nxt_call_dt]])*1</f>
        <v>45528</v>
      </c>
      <c r="K143" s="9" t="str" cm="1">
        <f t="array" ref="K143">_xll.BDP(bonds[[#This Row],[worksheet get]],bonds[[#Headers],[mty_typ]])</f>
        <v>CALLABLE</v>
      </c>
      <c r="L143" s="9" t="str" cm="1">
        <f t="array" ref="L143">_xll.BDP(bonds[[#This Row],[worksheet get]],bonds[[#Headers],[crncy]])</f>
        <v>EUR</v>
      </c>
      <c r="M143" s="10" cm="1">
        <f t="array" ref="M143">_xll.BDP(bonds[[#This Row],[worksheet get]],bonds[[#Headers],[amt_outstanding]])</f>
        <v>500000000</v>
      </c>
      <c r="N143" s="9" t="str" cm="1">
        <f t="array" ref="N143">_xll.BDP(bonds[[#This Row],[worksheet get]],bonds[[#Headers],[industry_sector]])</f>
        <v>Utilities</v>
      </c>
      <c r="O143" s="9" t="str">
        <f>bonds[[#This Row],[security name]]&amp;" nc-"&amp;RIGHT(YEAR(bonds[[#This Row],[nxt_call_dt]]),2)</f>
        <v>ORSTED 2 1/4 11/24/17 nc-24</v>
      </c>
    </row>
    <row r="144" spans="5:15" x14ac:dyDescent="0.25">
      <c r="E144" s="5" t="s">
        <v>90</v>
      </c>
      <c r="F144" s="5" t="str" cm="1">
        <f t="array" ref="F144">_xll.BDP(bonds[[#This Row],[worksheet get]],bonds[[#Headers],[ID_ISIN]])</f>
        <v>XS2010036874</v>
      </c>
      <c r="G144" s="5" t="str" cm="1">
        <f t="array" ref="G144">_xll.BDP(bonds[[#This Row],[worksheet get]],bonds[[#Headers],[security name]])</f>
        <v>ORSTED 1 3/4 12/09/19</v>
      </c>
      <c r="H144" s="5" t="str" cm="1">
        <f t="array" ref="H144">_xll.BDP(bonds[[#This Row],[worksheet get]],bonds[[#Headers],[ticker]])</f>
        <v>ORSTED</v>
      </c>
      <c r="I144" s="5" cm="1">
        <f t="array" ref="I144">_xll.BDP(bonds[[#This Row],[worksheet get]],bonds[[#Headers],[coupon]])</f>
        <v>1.75</v>
      </c>
      <c r="J144" s="8" cm="1">
        <f t="array" ref="J144">_xll.BDP(bonds[[#This Row],[worksheet get]],bonds[[#Headers],[nxt_call_dt]])*1</f>
        <v>46639</v>
      </c>
      <c r="K144" s="9" t="str" cm="1">
        <f t="array" ref="K144">_xll.BDP(bonds[[#This Row],[worksheet get]],bonds[[#Headers],[mty_typ]])</f>
        <v>CALLABLE</v>
      </c>
      <c r="L144" s="9" t="str" cm="1">
        <f t="array" ref="L144">_xll.BDP(bonds[[#This Row],[worksheet get]],bonds[[#Headers],[crncy]])</f>
        <v>EUR</v>
      </c>
      <c r="M144" s="10" cm="1">
        <f t="array" ref="M144">_xll.BDP(bonds[[#This Row],[worksheet get]],bonds[[#Headers],[amt_outstanding]])</f>
        <v>600000000</v>
      </c>
      <c r="N144" s="9" t="str" cm="1">
        <f t="array" ref="N144">_xll.BDP(bonds[[#This Row],[worksheet get]],bonds[[#Headers],[industry_sector]])</f>
        <v>Utilities</v>
      </c>
      <c r="O144" s="9" t="str">
        <f>bonds[[#This Row],[security name]]&amp;" nc-"&amp;RIGHT(YEAR(bonds[[#This Row],[nxt_call_dt]]),2)</f>
        <v>ORSTED 1 3/4 12/09/19 nc-27</v>
      </c>
    </row>
    <row r="145" spans="5:15" x14ac:dyDescent="0.25">
      <c r="E145" s="5" t="s">
        <v>362</v>
      </c>
      <c r="F145" s="5" t="str" cm="1">
        <f t="array" ref="F145">_xll.BDP(bonds[[#This Row],[worksheet get]],bonds[[#Headers],[ID_ISIN]])</f>
        <v>XS1141810991</v>
      </c>
      <c r="G145" s="5" t="str" cm="1">
        <f t="array" ref="G145">_xll.BDP(bonds[[#This Row],[worksheet get]],bonds[[#Headers],[security name]])</f>
        <v>STEDIN 3 1/4 PERP</v>
      </c>
      <c r="H145" s="5" t="str" cm="1">
        <f t="array" ref="H145">_xll.BDP(bonds[[#This Row],[worksheet get]],bonds[[#Headers],[ticker]])</f>
        <v>STEDIN</v>
      </c>
      <c r="I145" s="5" cm="1">
        <f t="array" ref="I145">_xll.BDP(bonds[[#This Row],[worksheet get]],bonds[[#Headers],[coupon]])</f>
        <v>3.25</v>
      </c>
      <c r="J145" s="8" cm="1">
        <f t="array" ref="J145">_xll.BDP(bonds[[#This Row],[worksheet get]],bonds[[#Headers],[nxt_call_dt]])*1</f>
        <v>44531</v>
      </c>
      <c r="K145" s="9" t="str" cm="1">
        <f t="array" ref="K145">_xll.BDP(bonds[[#This Row],[worksheet get]],bonds[[#Headers],[mty_typ]])</f>
        <v>PERP/CALL</v>
      </c>
      <c r="L145" s="9" t="str" cm="1">
        <f t="array" ref="L145">_xll.BDP(bonds[[#This Row],[worksheet get]],bonds[[#Headers],[crncy]])</f>
        <v>EUR</v>
      </c>
      <c r="M145" s="10" cm="1">
        <f t="array" ref="M145">_xll.BDP(bonds[[#This Row],[worksheet get]],bonds[[#Headers],[amt_outstanding]])</f>
        <v>500000000</v>
      </c>
      <c r="N145" s="9" t="str" cm="1">
        <f t="array" ref="N145">_xll.BDP(bonds[[#This Row],[worksheet get]],bonds[[#Headers],[industry_sector]])</f>
        <v>Utilities</v>
      </c>
      <c r="O145" s="9" t="str">
        <f>bonds[[#This Row],[security name]]&amp;" nc-"&amp;RIGHT(YEAR(bonds[[#This Row],[nxt_call_dt]]),2)</f>
        <v>STEDIN 3 1/4 PERP nc-21</v>
      </c>
    </row>
    <row r="146" spans="5:15" x14ac:dyDescent="0.25">
      <c r="E146" s="5" t="s">
        <v>363</v>
      </c>
      <c r="F146" s="5" t="str" cm="1">
        <f t="array" ref="F146">_xll.BDP(bonds[[#This Row],[worksheet get]],bonds[[#Headers],[ID_ISIN]])</f>
        <v>PTEDPUOM0024</v>
      </c>
      <c r="G146" s="5" t="str" cm="1">
        <f t="array" ref="G146">_xll.BDP(bonds[[#This Row],[worksheet get]],bonds[[#Headers],[security name]])</f>
        <v>EDPPL 5 3/8 09/16/75</v>
      </c>
      <c r="H146" s="5" t="str" cm="1">
        <f t="array" ref="H146">_xll.BDP(bonds[[#This Row],[worksheet get]],bonds[[#Headers],[ticker]])</f>
        <v>EDPPL</v>
      </c>
      <c r="I146" s="5" cm="1">
        <f t="array" ref="I146">_xll.BDP(bonds[[#This Row],[worksheet get]],bonds[[#Headers],[coupon]])</f>
        <v>5.375</v>
      </c>
      <c r="J146" s="8" t="e" cm="1">
        <f t="array" ref="J146">_xll.BDP(bonds[[#This Row],[worksheet get]],bonds[[#Headers],[nxt_call_dt]])*1</f>
        <v>#VALUE!</v>
      </c>
      <c r="K146" s="9" t="str" cm="1">
        <f t="array" ref="K146">_xll.BDP(bonds[[#This Row],[worksheet get]],bonds[[#Headers],[mty_typ]])</f>
        <v>CALLABLE</v>
      </c>
      <c r="L146" s="9" t="str" cm="1">
        <f t="array" ref="L146">_xll.BDP(bonds[[#This Row],[worksheet get]],bonds[[#Headers],[crncy]])</f>
        <v>EUR</v>
      </c>
      <c r="M146" s="10" cm="1">
        <f t="array" ref="M146">_xll.BDP(bonds[[#This Row],[worksheet get]],bonds[[#Headers],[amt_outstanding]])</f>
        <v>0</v>
      </c>
      <c r="N146" s="9" t="str" cm="1">
        <f t="array" ref="N146">_xll.BDP(bonds[[#This Row],[worksheet get]],bonds[[#Headers],[industry_sector]])</f>
        <v>Utilities</v>
      </c>
      <c r="O146" s="9" t="e">
        <f>bonds[[#This Row],[security name]]&amp;" nc-"&amp;RIGHT(YEAR(bonds[[#This Row],[nxt_call_dt]]),2)</f>
        <v>#VALUE!</v>
      </c>
    </row>
    <row r="147" spans="5:15" x14ac:dyDescent="0.25">
      <c r="E147" s="5" t="s">
        <v>50</v>
      </c>
      <c r="F147" s="5" t="str" cm="1">
        <f t="array" ref="F147">_xll.BDP(bonds[[#This Row],[worksheet get]],bonds[[#Headers],[ID_ISIN]])</f>
        <v>PTEDPKOM0034</v>
      </c>
      <c r="G147" s="5" t="str" cm="1">
        <f t="array" ref="G147">_xll.BDP(bonds[[#This Row],[worksheet get]],bonds[[#Headers],[security name]])</f>
        <v>EDPPL 4.496 04/30/79</v>
      </c>
      <c r="H147" s="5" t="str" cm="1">
        <f t="array" ref="H147">_xll.BDP(bonds[[#This Row],[worksheet get]],bonds[[#Headers],[ticker]])</f>
        <v>EDPPL</v>
      </c>
      <c r="I147" s="5" cm="1">
        <f t="array" ref="I147">_xll.BDP(bonds[[#This Row],[worksheet get]],bonds[[#Headers],[coupon]])</f>
        <v>4.4960000000000004</v>
      </c>
      <c r="J147" s="8" cm="1">
        <f t="array" ref="J147">_xll.BDP(bonds[[#This Row],[worksheet get]],bonds[[#Headers],[nxt_call_dt]])*1</f>
        <v>45321</v>
      </c>
      <c r="K147" s="9" t="str" cm="1">
        <f t="array" ref="K147">_xll.BDP(bonds[[#This Row],[worksheet get]],bonds[[#Headers],[mty_typ]])</f>
        <v>CALLABLE</v>
      </c>
      <c r="L147" s="9" t="str" cm="1">
        <f t="array" ref="L147">_xll.BDP(bonds[[#This Row],[worksheet get]],bonds[[#Headers],[crncy]])</f>
        <v>EUR</v>
      </c>
      <c r="M147" s="10" cm="1">
        <f t="array" ref="M147">_xll.BDP(bonds[[#This Row],[worksheet get]],bonds[[#Headers],[amt_outstanding]])</f>
        <v>1000000000</v>
      </c>
      <c r="N147" s="9" t="str" cm="1">
        <f t="array" ref="N147">_xll.BDP(bonds[[#This Row],[worksheet get]],bonds[[#Headers],[industry_sector]])</f>
        <v>Utilities</v>
      </c>
      <c r="O147" s="9" t="str">
        <f>bonds[[#This Row],[security name]]&amp;" nc-"&amp;RIGHT(YEAR(bonds[[#This Row],[nxt_call_dt]]),2)</f>
        <v>EDPPL 4.496 04/30/79 nc-24</v>
      </c>
    </row>
    <row r="148" spans="5:15" x14ac:dyDescent="0.25">
      <c r="E148" s="5" t="s">
        <v>51</v>
      </c>
      <c r="F148" s="5" t="str" cm="1">
        <f t="array" ref="F148">_xll.BDP(bonds[[#This Row],[worksheet get]],bonds[[#Headers],[ID_ISIN]])</f>
        <v>PTEDPLOM0017</v>
      </c>
      <c r="G148" s="5" t="str" cm="1">
        <f t="array" ref="G148">_xll.BDP(bonds[[#This Row],[worksheet get]],bonds[[#Headers],[security name]])</f>
        <v>EDPPL 1.7 07/20/80</v>
      </c>
      <c r="H148" s="5" t="str" cm="1">
        <f t="array" ref="H148">_xll.BDP(bonds[[#This Row],[worksheet get]],bonds[[#Headers],[ticker]])</f>
        <v>EDPPL</v>
      </c>
      <c r="I148" s="5" cm="1">
        <f t="array" ref="I148">_xll.BDP(bonds[[#This Row],[worksheet get]],bonds[[#Headers],[coupon]])</f>
        <v>1.7</v>
      </c>
      <c r="J148" s="8" cm="1">
        <f t="array" ref="J148">_xll.BDP(bonds[[#This Row],[worksheet get]],bonds[[#Headers],[nxt_call_dt]])*1</f>
        <v>45767</v>
      </c>
      <c r="K148" s="9" t="str" cm="1">
        <f t="array" ref="K148">_xll.BDP(bonds[[#This Row],[worksheet get]],bonds[[#Headers],[mty_typ]])</f>
        <v>CALLABLE</v>
      </c>
      <c r="L148" s="9" t="str" cm="1">
        <f t="array" ref="L148">_xll.BDP(bonds[[#This Row],[worksheet get]],bonds[[#Headers],[crncy]])</f>
        <v>EUR</v>
      </c>
      <c r="M148" s="10" cm="1">
        <f t="array" ref="M148">_xll.BDP(bonds[[#This Row],[worksheet get]],bonds[[#Headers],[amt_outstanding]])</f>
        <v>750000000</v>
      </c>
      <c r="N148" s="9" t="str" cm="1">
        <f t="array" ref="N148">_xll.BDP(bonds[[#This Row],[worksheet get]],bonds[[#Headers],[industry_sector]])</f>
        <v>Utilities</v>
      </c>
      <c r="O148" s="9" t="str">
        <f>bonds[[#This Row],[security name]]&amp;" nc-"&amp;RIGHT(YEAR(bonds[[#This Row],[nxt_call_dt]]),2)</f>
        <v>EDPPL 1.7 07/20/80 nc-25</v>
      </c>
    </row>
    <row r="149" spans="5:15" x14ac:dyDescent="0.25">
      <c r="E149" s="5" t="s">
        <v>364</v>
      </c>
      <c r="F149" s="5" t="str" cm="1">
        <f t="array" ref="F149">_xll.BDP(bonds[[#This Row],[worksheet get]],bonds[[#Headers],[ID_ISIN]])</f>
        <v>BE0002597756</v>
      </c>
      <c r="G149" s="5" t="str" cm="1">
        <f t="array" ref="G149">_xll.BDP(bonds[[#This Row],[worksheet get]],bonds[[#Headers],[security name]])</f>
        <v>ELIASO 2 3/4 PERP</v>
      </c>
      <c r="H149" s="5" t="str" cm="1">
        <f t="array" ref="H149">_xll.BDP(bonds[[#This Row],[worksheet get]],bonds[[#Headers],[ticker]])</f>
        <v>ELIASO</v>
      </c>
      <c r="I149" s="5" cm="1">
        <f t="array" ref="I149">_xll.BDP(bonds[[#This Row],[worksheet get]],bonds[[#Headers],[coupon]])</f>
        <v>2.75</v>
      </c>
      <c r="J149" s="8" cm="1">
        <f t="array" ref="J149">_xll.BDP(bonds[[#This Row],[worksheet get]],bonds[[#Headers],[nxt_call_dt]])*1</f>
        <v>45174</v>
      </c>
      <c r="K149" s="9" t="str" cm="1">
        <f t="array" ref="K149">_xll.BDP(bonds[[#This Row],[worksheet get]],bonds[[#Headers],[mty_typ]])</f>
        <v>PERP/CALL</v>
      </c>
      <c r="L149" s="9" t="str" cm="1">
        <f t="array" ref="L149">_xll.BDP(bonds[[#This Row],[worksheet get]],bonds[[#Headers],[crncy]])</f>
        <v>EUR</v>
      </c>
      <c r="M149" s="10" cm="1">
        <f t="array" ref="M149">_xll.BDP(bonds[[#This Row],[worksheet get]],bonds[[#Headers],[amt_outstanding]])</f>
        <v>700000000</v>
      </c>
      <c r="N149" s="9" t="str" cm="1">
        <f t="array" ref="N149">_xll.BDP(bonds[[#This Row],[worksheet get]],bonds[[#Headers],[industry_sector]])</f>
        <v>Utilities</v>
      </c>
      <c r="O149" s="9" t="str">
        <f>bonds[[#This Row],[security name]]&amp;" nc-"&amp;RIGHT(YEAR(bonds[[#This Row],[nxt_call_dt]]),2)</f>
        <v>ELIASO 2 3/4 PERP nc-23</v>
      </c>
    </row>
    <row r="150" spans="5:15" x14ac:dyDescent="0.25">
      <c r="E150" s="5" t="s">
        <v>365</v>
      </c>
      <c r="F150" s="5" t="str" cm="1">
        <f t="array" ref="F150">_xll.BDP(bonds[[#This Row],[worksheet get]],bonds[[#Headers],[ID_ISIN]])</f>
        <v>XS1150695192</v>
      </c>
      <c r="G150" s="5" t="str" cm="1">
        <f t="array" ref="G150">_xll.BDP(bonds[[#This Row],[worksheet get]],bonds[[#Headers],[security name]])</f>
        <v>VLVY 4.85 03/10/78</v>
      </c>
      <c r="H150" s="5" t="str" cm="1">
        <f t="array" ref="H150">_xll.BDP(bonds[[#This Row],[worksheet get]],bonds[[#Headers],[ticker]])</f>
        <v>VLVY</v>
      </c>
      <c r="I150" s="5" cm="1">
        <f t="array" ref="I150">_xll.BDP(bonds[[#This Row],[worksheet get]],bonds[[#Headers],[coupon]])</f>
        <v>4.8499999999999996</v>
      </c>
      <c r="J150" s="8" cm="1">
        <f t="array" ref="J150">_xll.BDP(bonds[[#This Row],[worksheet get]],bonds[[#Headers],[nxt_call_dt]])*1</f>
        <v>44995</v>
      </c>
      <c r="K150" s="9" t="str" cm="1">
        <f t="array" ref="K150">_xll.BDP(bonds[[#This Row],[worksheet get]],bonds[[#Headers],[mty_typ]])</f>
        <v>CALLABLE</v>
      </c>
      <c r="L150" s="9" t="str" cm="1">
        <f t="array" ref="L150">_xll.BDP(bonds[[#This Row],[worksheet get]],bonds[[#Headers],[crncy]])</f>
        <v>EUR</v>
      </c>
      <c r="M150" s="10" cm="1">
        <f t="array" ref="M150">_xll.BDP(bonds[[#This Row],[worksheet get]],bonds[[#Headers],[amt_outstanding]])</f>
        <v>600000000</v>
      </c>
      <c r="N150" s="9" t="str" cm="1">
        <f t="array" ref="N150">_xll.BDP(bonds[[#This Row],[worksheet get]],bonds[[#Headers],[industry_sector]])</f>
        <v>Consumer, Cyclical</v>
      </c>
      <c r="O150" s="9" t="str">
        <f>bonds[[#This Row],[security name]]&amp;" nc-"&amp;RIGHT(YEAR(bonds[[#This Row],[nxt_call_dt]]),2)</f>
        <v>VLVY 4.85 03/10/78 nc-23</v>
      </c>
    </row>
    <row r="151" spans="5:15" x14ac:dyDescent="0.25">
      <c r="E151" s="5" t="s">
        <v>366</v>
      </c>
      <c r="F151" s="5" t="str" cm="1">
        <f t="array" ref="F151">_xll.BDP(bonds[[#This Row],[worksheet get]],bonds[[#Headers],[ID_ISIN]])</f>
        <v>XS1048428012</v>
      </c>
      <c r="G151" s="5" t="str" cm="1">
        <f t="array" ref="G151">_xll.BDP(bonds[[#This Row],[worksheet get]],bonds[[#Headers],[security name]])</f>
        <v>VW 3 3/4 PERP</v>
      </c>
      <c r="H151" s="5" t="str" cm="1">
        <f t="array" ref="H151">_xll.BDP(bonds[[#This Row],[worksheet get]],bonds[[#Headers],[ticker]])</f>
        <v>VW</v>
      </c>
      <c r="I151" s="5" cm="1">
        <f t="array" ref="I151">_xll.BDP(bonds[[#This Row],[worksheet get]],bonds[[#Headers],[coupon]])</f>
        <v>3.75</v>
      </c>
      <c r="J151" s="8" cm="1">
        <f t="array" ref="J151">_xll.BDP(bonds[[#This Row],[worksheet get]],bonds[[#Headers],[nxt_call_dt]])*1</f>
        <v>44279</v>
      </c>
      <c r="K151" s="9" t="str" cm="1">
        <f t="array" ref="K151">_xll.BDP(bonds[[#This Row],[worksheet get]],bonds[[#Headers],[mty_typ]])</f>
        <v>PERP/CALL</v>
      </c>
      <c r="L151" s="9" t="str" cm="1">
        <f t="array" ref="L151">_xll.BDP(bonds[[#This Row],[worksheet get]],bonds[[#Headers],[crncy]])</f>
        <v>EUR</v>
      </c>
      <c r="M151" s="10" cm="1">
        <f t="array" ref="M151">_xll.BDP(bonds[[#This Row],[worksheet get]],bonds[[#Headers],[amt_outstanding]])</f>
        <v>1250000000</v>
      </c>
      <c r="N151" s="9" t="str" cm="1">
        <f t="array" ref="N151">_xll.BDP(bonds[[#This Row],[worksheet get]],bonds[[#Headers],[industry_sector]])</f>
        <v>Consumer, Cyclical</v>
      </c>
      <c r="O151" s="9" t="str">
        <f>bonds[[#This Row],[security name]]&amp;" nc-"&amp;RIGHT(YEAR(bonds[[#This Row],[nxt_call_dt]]),2)</f>
        <v>VW 3 3/4 PERP nc-21</v>
      </c>
    </row>
    <row r="152" spans="5:15" x14ac:dyDescent="0.25">
      <c r="E152" s="5" t="s">
        <v>367</v>
      </c>
      <c r="F152" s="5" t="str" cm="1">
        <f t="array" ref="F152">_xll.BDP(bonds[[#This Row],[worksheet get]],bonds[[#Headers],[ID_ISIN]])</f>
        <v>XS1206540806</v>
      </c>
      <c r="G152" s="5" t="str" cm="1">
        <f t="array" ref="G152">_xll.BDP(bonds[[#This Row],[worksheet get]],bonds[[#Headers],[security name]])</f>
        <v>VW 2 1/2 PERP</v>
      </c>
      <c r="H152" s="5" t="str" cm="1">
        <f t="array" ref="H152">_xll.BDP(bonds[[#This Row],[worksheet get]],bonds[[#Headers],[ticker]])</f>
        <v>VW</v>
      </c>
      <c r="I152" s="5" cm="1">
        <f t="array" ref="I152">_xll.BDP(bonds[[#This Row],[worksheet get]],bonds[[#Headers],[coupon]])</f>
        <v>2.5</v>
      </c>
      <c r="J152" s="8" cm="1">
        <f t="array" ref="J152">_xll.BDP(bonds[[#This Row],[worksheet get]],bonds[[#Headers],[nxt_call_dt]])*1</f>
        <v>44640</v>
      </c>
      <c r="K152" s="9" t="str" cm="1">
        <f t="array" ref="K152">_xll.BDP(bonds[[#This Row],[worksheet get]],bonds[[#Headers],[mty_typ]])</f>
        <v>PERP/CALL</v>
      </c>
      <c r="L152" s="9" t="str" cm="1">
        <f t="array" ref="L152">_xll.BDP(bonds[[#This Row],[worksheet get]],bonds[[#Headers],[crncy]])</f>
        <v>EUR</v>
      </c>
      <c r="M152" s="10" cm="1">
        <f t="array" ref="M152">_xll.BDP(bonds[[#This Row],[worksheet get]],bonds[[#Headers],[amt_outstanding]])</f>
        <v>1100000000</v>
      </c>
      <c r="N152" s="9" t="str" cm="1">
        <f t="array" ref="N152">_xll.BDP(bonds[[#This Row],[worksheet get]],bonds[[#Headers],[industry_sector]])</f>
        <v>Consumer, Cyclical</v>
      </c>
      <c r="O152" s="9" t="str">
        <f>bonds[[#This Row],[security name]]&amp;" nc-"&amp;RIGHT(YEAR(bonds[[#This Row],[nxt_call_dt]]),2)</f>
        <v>VW 2 1/2 PERP nc-22</v>
      </c>
    </row>
    <row r="153" spans="5:15" x14ac:dyDescent="0.25">
      <c r="E153" s="5" t="s">
        <v>113</v>
      </c>
      <c r="F153" s="5" t="str" cm="1">
        <f t="array" ref="F153">_xll.BDP(bonds[[#This Row],[worksheet get]],bonds[[#Headers],[ID_ISIN]])</f>
        <v>XS1629658755</v>
      </c>
      <c r="G153" s="5" t="str" cm="1">
        <f t="array" ref="G153">_xll.BDP(bonds[[#This Row],[worksheet get]],bonds[[#Headers],[security name]])</f>
        <v>VW 2.7 PERP</v>
      </c>
      <c r="H153" s="5" t="str" cm="1">
        <f t="array" ref="H153">_xll.BDP(bonds[[#This Row],[worksheet get]],bonds[[#Headers],[ticker]])</f>
        <v>VW</v>
      </c>
      <c r="I153" s="5" cm="1">
        <f t="array" ref="I153">_xll.BDP(bonds[[#This Row],[worksheet get]],bonds[[#Headers],[coupon]])</f>
        <v>2.7</v>
      </c>
      <c r="J153" s="8" cm="1">
        <f t="array" ref="J153">_xll.BDP(bonds[[#This Row],[worksheet get]],bonds[[#Headers],[nxt_call_dt]])*1</f>
        <v>44909</v>
      </c>
      <c r="K153" s="9" t="str" cm="1">
        <f t="array" ref="K153">_xll.BDP(bonds[[#This Row],[worksheet get]],bonds[[#Headers],[mty_typ]])</f>
        <v>PERP/CALL</v>
      </c>
      <c r="L153" s="9" t="str" cm="1">
        <f t="array" ref="L153">_xll.BDP(bonds[[#This Row],[worksheet get]],bonds[[#Headers],[crncy]])</f>
        <v>EUR</v>
      </c>
      <c r="M153" s="10" cm="1">
        <f t="array" ref="M153">_xll.BDP(bonds[[#This Row],[worksheet get]],bonds[[#Headers],[amt_outstanding]])</f>
        <v>1500000000</v>
      </c>
      <c r="N153" s="9" t="str" cm="1">
        <f t="array" ref="N153">_xll.BDP(bonds[[#This Row],[worksheet get]],bonds[[#Headers],[industry_sector]])</f>
        <v>Consumer, Cyclical</v>
      </c>
      <c r="O153" s="9" t="str">
        <f>bonds[[#This Row],[security name]]&amp;" nc-"&amp;RIGHT(YEAR(bonds[[#This Row],[nxt_call_dt]]),2)</f>
        <v>VW 2.7 PERP nc-22</v>
      </c>
    </row>
    <row r="154" spans="5:15" x14ac:dyDescent="0.25">
      <c r="E154" s="5" t="s">
        <v>368</v>
      </c>
      <c r="F154" s="5" t="str" cm="1">
        <f t="array" ref="F154">_xll.BDP(bonds[[#This Row],[worksheet get]],bonds[[#Headers],[ID_ISIN]])</f>
        <v>XS0968913342</v>
      </c>
      <c r="G154" s="5" t="str" cm="1">
        <f t="array" ref="G154">_xll.BDP(bonds[[#This Row],[worksheet get]],bonds[[#Headers],[security name]])</f>
        <v>VW 5 1/8 PERP</v>
      </c>
      <c r="H154" s="5" t="str" cm="1">
        <f t="array" ref="H154">_xll.BDP(bonds[[#This Row],[worksheet get]],bonds[[#Headers],[ticker]])</f>
        <v>VW</v>
      </c>
      <c r="I154" s="5" cm="1">
        <f t="array" ref="I154">_xll.BDP(bonds[[#This Row],[worksheet get]],bonds[[#Headers],[coupon]])</f>
        <v>5.125</v>
      </c>
      <c r="J154" s="8" cm="1">
        <f t="array" ref="J154">_xll.BDP(bonds[[#This Row],[worksheet get]],bonds[[#Headers],[nxt_call_dt]])*1</f>
        <v>45173</v>
      </c>
      <c r="K154" s="9" t="str" cm="1">
        <f t="array" ref="K154">_xll.BDP(bonds[[#This Row],[worksheet get]],bonds[[#Headers],[mty_typ]])</f>
        <v>PERP/CALL</v>
      </c>
      <c r="L154" s="9" t="str" cm="1">
        <f t="array" ref="L154">_xll.BDP(bonds[[#This Row],[worksheet get]],bonds[[#Headers],[crncy]])</f>
        <v>EUR</v>
      </c>
      <c r="M154" s="10" cm="1">
        <f t="array" ref="M154">_xll.BDP(bonds[[#This Row],[worksheet get]],bonds[[#Headers],[amt_outstanding]])</f>
        <v>750000000</v>
      </c>
      <c r="N154" s="9" t="str" cm="1">
        <f t="array" ref="N154">_xll.BDP(bonds[[#This Row],[worksheet get]],bonds[[#Headers],[industry_sector]])</f>
        <v>Consumer, Cyclical</v>
      </c>
      <c r="O154" s="9" t="str">
        <f>bonds[[#This Row],[security name]]&amp;" nc-"&amp;RIGHT(YEAR(bonds[[#This Row],[nxt_call_dt]]),2)</f>
        <v>VW 5 1/8 PERP nc-23</v>
      </c>
    </row>
    <row r="155" spans="5:15" x14ac:dyDescent="0.25">
      <c r="E155" s="5" t="s">
        <v>369</v>
      </c>
      <c r="F155" s="5" t="str" cm="1">
        <f t="array" ref="F155">_xll.BDP(bonds[[#This Row],[worksheet get]],bonds[[#Headers],[ID_ISIN]])</f>
        <v>XS1799938995</v>
      </c>
      <c r="G155" s="5" t="str" cm="1">
        <f t="array" ref="G155">_xll.BDP(bonds[[#This Row],[worksheet get]],bonds[[#Headers],[security name]])</f>
        <v>VW 3 3/8 PERP</v>
      </c>
      <c r="H155" s="5" t="str" cm="1">
        <f t="array" ref="H155">_xll.BDP(bonds[[#This Row],[worksheet get]],bonds[[#Headers],[ticker]])</f>
        <v>VW</v>
      </c>
      <c r="I155" s="5" cm="1">
        <f t="array" ref="I155">_xll.BDP(bonds[[#This Row],[worksheet get]],bonds[[#Headers],[coupon]])</f>
        <v>3.375</v>
      </c>
      <c r="J155" s="8" cm="1">
        <f t="array" ref="J155">_xll.BDP(bonds[[#This Row],[worksheet get]],bonds[[#Headers],[nxt_call_dt]])*1</f>
        <v>45470</v>
      </c>
      <c r="K155" s="9" t="str" cm="1">
        <f t="array" ref="K155">_xll.BDP(bonds[[#This Row],[worksheet get]],bonds[[#Headers],[mty_typ]])</f>
        <v>PERP/CALL</v>
      </c>
      <c r="L155" s="9" t="str" cm="1">
        <f t="array" ref="L155">_xll.BDP(bonds[[#This Row],[worksheet get]],bonds[[#Headers],[crncy]])</f>
        <v>EUR</v>
      </c>
      <c r="M155" s="10" cm="1">
        <f t="array" ref="M155">_xll.BDP(bonds[[#This Row],[worksheet get]],bonds[[#Headers],[amt_outstanding]])</f>
        <v>1250000000</v>
      </c>
      <c r="N155" s="9" t="str" cm="1">
        <f t="array" ref="N155">_xll.BDP(bonds[[#This Row],[worksheet get]],bonds[[#Headers],[industry_sector]])</f>
        <v>Consumer, Cyclical</v>
      </c>
      <c r="O155" s="9" t="str">
        <f>bonds[[#This Row],[security name]]&amp;" nc-"&amp;RIGHT(YEAR(bonds[[#This Row],[nxt_call_dt]]),2)</f>
        <v>VW 3 3/8 PERP nc-24</v>
      </c>
    </row>
    <row r="156" spans="5:15" x14ac:dyDescent="0.25">
      <c r="E156" s="5" t="s">
        <v>370</v>
      </c>
      <c r="F156" s="5" t="str" cm="1">
        <f t="array" ref="F156">_xll.BDP(bonds[[#This Row],[worksheet get]],bonds[[#Headers],[ID_ISIN]])</f>
        <v>XS2187689034</v>
      </c>
      <c r="G156" s="5" t="str" cm="1">
        <f t="array" ref="G156">_xll.BDP(bonds[[#This Row],[worksheet get]],bonds[[#Headers],[security name]])</f>
        <v>VW 3 1/2 PERP</v>
      </c>
      <c r="H156" s="5" t="str" cm="1">
        <f t="array" ref="H156">_xll.BDP(bonds[[#This Row],[worksheet get]],bonds[[#Headers],[ticker]])</f>
        <v>VW</v>
      </c>
      <c r="I156" s="5" cm="1">
        <f t="array" ref="I156">_xll.BDP(bonds[[#This Row],[worksheet get]],bonds[[#Headers],[coupon]])</f>
        <v>3.5</v>
      </c>
      <c r="J156" s="8" cm="1">
        <f t="array" ref="J156">_xll.BDP(bonds[[#This Row],[worksheet get]],bonds[[#Headers],[nxt_call_dt]])*1</f>
        <v>45825</v>
      </c>
      <c r="K156" s="9" t="str" cm="1">
        <f t="array" ref="K156">_xll.BDP(bonds[[#This Row],[worksheet get]],bonds[[#Headers],[mty_typ]])</f>
        <v>PERP/CALL</v>
      </c>
      <c r="L156" s="9" t="str" cm="1">
        <f t="array" ref="L156">_xll.BDP(bonds[[#This Row],[worksheet get]],bonds[[#Headers],[crncy]])</f>
        <v>EUR</v>
      </c>
      <c r="M156" s="10" cm="1">
        <f t="array" ref="M156">_xll.BDP(bonds[[#This Row],[worksheet get]],bonds[[#Headers],[amt_outstanding]])</f>
        <v>1500000000</v>
      </c>
      <c r="N156" s="9" t="str" cm="1">
        <f t="array" ref="N156">_xll.BDP(bonds[[#This Row],[worksheet get]],bonds[[#Headers],[industry_sector]])</f>
        <v>Consumer, Cyclical</v>
      </c>
      <c r="O156" s="9" t="str">
        <f>bonds[[#This Row],[security name]]&amp;" nc-"&amp;RIGHT(YEAR(bonds[[#This Row],[nxt_call_dt]]),2)</f>
        <v>VW 3 1/2 PERP nc-25</v>
      </c>
    </row>
    <row r="157" spans="5:15" x14ac:dyDescent="0.25">
      <c r="E157" s="5" t="s">
        <v>371</v>
      </c>
      <c r="F157" s="5" t="str" cm="1">
        <f t="array" ref="F157">_xll.BDP(bonds[[#This Row],[worksheet get]],bonds[[#Headers],[ID_ISIN]])</f>
        <v>XS1048428442</v>
      </c>
      <c r="G157" s="5" t="str" cm="1">
        <f t="array" ref="G157">_xll.BDP(bonds[[#This Row],[worksheet get]],bonds[[#Headers],[security name]])</f>
        <v>VW 4 5/8 PERP</v>
      </c>
      <c r="H157" s="5" t="str" cm="1">
        <f t="array" ref="H157">_xll.BDP(bonds[[#This Row],[worksheet get]],bonds[[#Headers],[ticker]])</f>
        <v>VW</v>
      </c>
      <c r="I157" s="5" cm="1">
        <f t="array" ref="I157">_xll.BDP(bonds[[#This Row],[worksheet get]],bonds[[#Headers],[coupon]])</f>
        <v>4.625</v>
      </c>
      <c r="J157" s="8" cm="1">
        <f t="array" ref="J157">_xll.BDP(bonds[[#This Row],[worksheet get]],bonds[[#Headers],[nxt_call_dt]])*1</f>
        <v>46105</v>
      </c>
      <c r="K157" s="9" t="str" cm="1">
        <f t="array" ref="K157">_xll.BDP(bonds[[#This Row],[worksheet get]],bonds[[#Headers],[mty_typ]])</f>
        <v>PERP/CALL</v>
      </c>
      <c r="L157" s="9" t="str" cm="1">
        <f t="array" ref="L157">_xll.BDP(bonds[[#This Row],[worksheet get]],bonds[[#Headers],[crncy]])</f>
        <v>EUR</v>
      </c>
      <c r="M157" s="10" cm="1">
        <f t="array" ref="M157">_xll.BDP(bonds[[#This Row],[worksheet get]],bonds[[#Headers],[amt_outstanding]])</f>
        <v>1750000000</v>
      </c>
      <c r="N157" s="9" t="str" cm="1">
        <f t="array" ref="N157">_xll.BDP(bonds[[#This Row],[worksheet get]],bonds[[#Headers],[industry_sector]])</f>
        <v>Consumer, Cyclical</v>
      </c>
      <c r="O157" s="9" t="str">
        <f>bonds[[#This Row],[security name]]&amp;" nc-"&amp;RIGHT(YEAR(bonds[[#This Row],[nxt_call_dt]]),2)</f>
        <v>VW 4 5/8 PERP nc-26</v>
      </c>
    </row>
    <row r="158" spans="5:15" x14ac:dyDescent="0.25">
      <c r="E158" s="5" t="s">
        <v>372</v>
      </c>
      <c r="F158" s="5" t="str" cm="1">
        <f t="array" ref="F158">_xll.BDP(bonds[[#This Row],[worksheet get]],bonds[[#Headers],[ID_ISIN]])</f>
        <v>XS1629774230</v>
      </c>
      <c r="G158" s="5" t="str" cm="1">
        <f t="array" ref="G158">_xll.BDP(bonds[[#This Row],[worksheet get]],bonds[[#Headers],[security name]])</f>
        <v>VW 3 7/8 PERP</v>
      </c>
      <c r="H158" s="5" t="str" cm="1">
        <f t="array" ref="H158">_xll.BDP(bonds[[#This Row],[worksheet get]],bonds[[#Headers],[ticker]])</f>
        <v>VW</v>
      </c>
      <c r="I158" s="5" cm="1">
        <f t="array" ref="I158">_xll.BDP(bonds[[#This Row],[worksheet get]],bonds[[#Headers],[coupon]])</f>
        <v>3.875</v>
      </c>
      <c r="J158" s="8" cm="1">
        <f t="array" ref="J158">_xll.BDP(bonds[[#This Row],[worksheet get]],bonds[[#Headers],[nxt_call_dt]])*1</f>
        <v>46552</v>
      </c>
      <c r="K158" s="9" t="str" cm="1">
        <f t="array" ref="K158">_xll.BDP(bonds[[#This Row],[worksheet get]],bonds[[#Headers],[mty_typ]])</f>
        <v>PERP/CALL</v>
      </c>
      <c r="L158" s="9" t="str" cm="1">
        <f t="array" ref="L158">_xll.BDP(bonds[[#This Row],[worksheet get]],bonds[[#Headers],[crncy]])</f>
        <v>EUR</v>
      </c>
      <c r="M158" s="10" cm="1">
        <f t="array" ref="M158">_xll.BDP(bonds[[#This Row],[worksheet get]],bonds[[#Headers],[amt_outstanding]])</f>
        <v>2000000000</v>
      </c>
      <c r="N158" s="9" t="str" cm="1">
        <f t="array" ref="N158">_xll.BDP(bonds[[#This Row],[worksheet get]],bonds[[#Headers],[industry_sector]])</f>
        <v>Consumer, Cyclical</v>
      </c>
      <c r="O158" s="9" t="str">
        <f>bonds[[#This Row],[security name]]&amp;" nc-"&amp;RIGHT(YEAR(bonds[[#This Row],[nxt_call_dt]]),2)</f>
        <v>VW 3 7/8 PERP nc-27</v>
      </c>
    </row>
    <row r="159" spans="5:15" x14ac:dyDescent="0.25">
      <c r="E159" s="5" t="s">
        <v>373</v>
      </c>
      <c r="F159" s="5" t="str" cm="1">
        <f t="array" ref="F159">_xll.BDP(bonds[[#This Row],[worksheet get]],bonds[[#Headers],[ID_ISIN]])</f>
        <v>XS1799939027</v>
      </c>
      <c r="G159" s="5" t="str" cm="1">
        <f t="array" ref="G159">_xll.BDP(bonds[[#This Row],[worksheet get]],bonds[[#Headers],[security name]])</f>
        <v>VW 4 5/8 PERP</v>
      </c>
      <c r="H159" s="5" t="str" cm="1">
        <f t="array" ref="H159">_xll.BDP(bonds[[#This Row],[worksheet get]],bonds[[#Headers],[ticker]])</f>
        <v>VW</v>
      </c>
      <c r="I159" s="5" cm="1">
        <f t="array" ref="I159">_xll.BDP(bonds[[#This Row],[worksheet get]],bonds[[#Headers],[coupon]])</f>
        <v>4.625</v>
      </c>
      <c r="J159" s="8" cm="1">
        <f t="array" ref="J159">_xll.BDP(bonds[[#This Row],[worksheet get]],bonds[[#Headers],[nxt_call_dt]])*1</f>
        <v>46931</v>
      </c>
      <c r="K159" s="9" t="str" cm="1">
        <f t="array" ref="K159">_xll.BDP(bonds[[#This Row],[worksheet get]],bonds[[#Headers],[mty_typ]])</f>
        <v>PERP/CALL</v>
      </c>
      <c r="L159" s="9" t="str" cm="1">
        <f t="array" ref="L159">_xll.BDP(bonds[[#This Row],[worksheet get]],bonds[[#Headers],[crncy]])</f>
        <v>EUR</v>
      </c>
      <c r="M159" s="10" cm="1">
        <f t="array" ref="M159">_xll.BDP(bonds[[#This Row],[worksheet get]],bonds[[#Headers],[amt_outstanding]])</f>
        <v>1500000000</v>
      </c>
      <c r="N159" s="9" t="str" cm="1">
        <f t="array" ref="N159">_xll.BDP(bonds[[#This Row],[worksheet get]],bonds[[#Headers],[industry_sector]])</f>
        <v>Consumer, Cyclical</v>
      </c>
      <c r="O159" s="9" t="str">
        <f>bonds[[#This Row],[security name]]&amp;" nc-"&amp;RIGHT(YEAR(bonds[[#This Row],[nxt_call_dt]]),2)</f>
        <v>VW 4 5/8 PERP nc-28</v>
      </c>
    </row>
    <row r="160" spans="5:15" x14ac:dyDescent="0.25">
      <c r="E160" s="5" t="s">
        <v>374</v>
      </c>
      <c r="F160" s="5" t="str" cm="1">
        <f t="array" ref="F160">_xll.BDP(bonds[[#This Row],[worksheet get]],bonds[[#Headers],[ID_ISIN]])</f>
        <v>XS2187689380</v>
      </c>
      <c r="G160" s="5" t="str" cm="1">
        <f t="array" ref="G160">_xll.BDP(bonds[[#This Row],[worksheet get]],bonds[[#Headers],[security name]])</f>
        <v>VW 3 7/8 PERP</v>
      </c>
      <c r="H160" s="5" t="str" cm="1">
        <f t="array" ref="H160">_xll.BDP(bonds[[#This Row],[worksheet get]],bonds[[#Headers],[ticker]])</f>
        <v>VW</v>
      </c>
      <c r="I160" s="5" cm="1">
        <f t="array" ref="I160">_xll.BDP(bonds[[#This Row],[worksheet get]],bonds[[#Headers],[coupon]])</f>
        <v>3.875</v>
      </c>
      <c r="J160" s="8" cm="1">
        <f t="array" ref="J160">_xll.BDP(bonds[[#This Row],[worksheet get]],bonds[[#Headers],[nxt_call_dt]])*1</f>
        <v>47286</v>
      </c>
      <c r="K160" s="9" t="str" cm="1">
        <f t="array" ref="K160">_xll.BDP(bonds[[#This Row],[worksheet get]],bonds[[#Headers],[mty_typ]])</f>
        <v>PERP/CALL</v>
      </c>
      <c r="L160" s="9" t="str" cm="1">
        <f t="array" ref="L160">_xll.BDP(bonds[[#This Row],[worksheet get]],bonds[[#Headers],[crncy]])</f>
        <v>EUR</v>
      </c>
      <c r="M160" s="10" cm="1">
        <f t="array" ref="M160">_xll.BDP(bonds[[#This Row],[worksheet get]],bonds[[#Headers],[amt_outstanding]])</f>
        <v>1500000000</v>
      </c>
      <c r="N160" s="9" t="str" cm="1">
        <f t="array" ref="N160">_xll.BDP(bonds[[#This Row],[worksheet get]],bonds[[#Headers],[industry_sector]])</f>
        <v>Consumer, Cyclical</v>
      </c>
      <c r="O160" s="9" t="str">
        <f>bonds[[#This Row],[security name]]&amp;" nc-"&amp;RIGHT(YEAR(bonds[[#This Row],[nxt_call_dt]]),2)</f>
        <v>VW 3 7/8 PERP nc-29</v>
      </c>
    </row>
    <row r="161" spans="5:15" x14ac:dyDescent="0.25">
      <c r="E161" s="5" t="s">
        <v>114</v>
      </c>
      <c r="F161" s="5" t="str" cm="1">
        <f t="array" ref="F161">_xll.BDP(bonds[[#This Row],[worksheet get]],bonds[[#Headers],[ID_ISIN]])</f>
        <v>XS1206541366</v>
      </c>
      <c r="G161" s="5" t="str" cm="1">
        <f t="array" ref="G161">_xll.BDP(bonds[[#This Row],[worksheet get]],bonds[[#Headers],[security name]])</f>
        <v>VW 3 1/2 PERP</v>
      </c>
      <c r="H161" s="5" t="str" cm="1">
        <f t="array" ref="H161">_xll.BDP(bonds[[#This Row],[worksheet get]],bonds[[#Headers],[ticker]])</f>
        <v>VW</v>
      </c>
      <c r="I161" s="5" cm="1">
        <f t="array" ref="I161">_xll.BDP(bonds[[#This Row],[worksheet get]],bonds[[#Headers],[coupon]])</f>
        <v>3.5</v>
      </c>
      <c r="J161" s="8" cm="1">
        <f t="array" ref="J161">_xll.BDP(bonds[[#This Row],[worksheet get]],bonds[[#Headers],[nxt_call_dt]])*1</f>
        <v>47562</v>
      </c>
      <c r="K161" s="9" t="str" cm="1">
        <f t="array" ref="K161">_xll.BDP(bonds[[#This Row],[worksheet get]],bonds[[#Headers],[mty_typ]])</f>
        <v>PERP/CALL</v>
      </c>
      <c r="L161" s="9" t="str" cm="1">
        <f t="array" ref="L161">_xll.BDP(bonds[[#This Row],[worksheet get]],bonds[[#Headers],[crncy]])</f>
        <v>EUR</v>
      </c>
      <c r="M161" s="10" cm="1">
        <f t="array" ref="M161">_xll.BDP(bonds[[#This Row],[worksheet get]],bonds[[#Headers],[amt_outstanding]])</f>
        <v>1400000000</v>
      </c>
      <c r="N161" s="9" t="str" cm="1">
        <f t="array" ref="N161">_xll.BDP(bonds[[#This Row],[worksheet get]],bonds[[#Headers],[industry_sector]])</f>
        <v>Consumer, Cyclical</v>
      </c>
      <c r="O161" s="9" t="str">
        <f>bonds[[#This Row],[security name]]&amp;" nc-"&amp;RIGHT(YEAR(bonds[[#This Row],[nxt_call_dt]]),2)</f>
        <v>VW 3 1/2 PERP nc-30</v>
      </c>
    </row>
    <row r="162" spans="5:15" x14ac:dyDescent="0.25">
      <c r="E162" s="5" t="s">
        <v>375</v>
      </c>
      <c r="F162" s="5" t="str" cm="1">
        <f t="array" ref="F162">_xll.BDP(bonds[[#This Row],[worksheet get]],bonds[[#Headers],[ID_ISIN]])</f>
        <v>FR0012005924</v>
      </c>
      <c r="G162" s="5" t="str" cm="1">
        <f t="array" ref="G162">_xll.BDP(bonds[[#This Row],[worksheet get]],bonds[[#Headers],[security name]])</f>
        <v>ACFP 4 1/8 PERP</v>
      </c>
      <c r="H162" s="5" t="str" cm="1">
        <f t="array" ref="H162">_xll.BDP(bonds[[#This Row],[worksheet get]],bonds[[#Headers],[ticker]])</f>
        <v>ACFP</v>
      </c>
      <c r="I162" s="5" cm="1">
        <f t="array" ref="I162">_xll.BDP(bonds[[#This Row],[worksheet get]],bonds[[#Headers],[coupon]])</f>
        <v>4.125</v>
      </c>
      <c r="J162" s="8" t="e" cm="1">
        <f t="array" ref="J162">_xll.BDP(bonds[[#This Row],[worksheet get]],bonds[[#Headers],[nxt_call_dt]])*1</f>
        <v>#VALUE!</v>
      </c>
      <c r="K162" s="9" t="str" cm="1">
        <f t="array" ref="K162">_xll.BDP(bonds[[#This Row],[worksheet get]],bonds[[#Headers],[mty_typ]])</f>
        <v>PERP/CALL</v>
      </c>
      <c r="L162" s="9" t="str" cm="1">
        <f t="array" ref="L162">_xll.BDP(bonds[[#This Row],[worksheet get]],bonds[[#Headers],[crncy]])</f>
        <v>EUR</v>
      </c>
      <c r="M162" s="10" cm="1">
        <f t="array" ref="M162">_xll.BDP(bonds[[#This Row],[worksheet get]],bonds[[#Headers],[amt_outstanding]])</f>
        <v>0</v>
      </c>
      <c r="N162" s="9" t="str" cm="1">
        <f t="array" ref="N162">_xll.BDP(bonds[[#This Row],[worksheet get]],bonds[[#Headers],[industry_sector]])</f>
        <v>Consumer, Cyclical</v>
      </c>
      <c r="O162" s="9" t="e">
        <f>bonds[[#This Row],[security name]]&amp;" nc-"&amp;RIGHT(YEAR(bonds[[#This Row],[nxt_call_dt]]),2)</f>
        <v>#VALUE!</v>
      </c>
    </row>
    <row r="163" spans="5:15" x14ac:dyDescent="0.25">
      <c r="E163" s="5" t="s">
        <v>376</v>
      </c>
      <c r="F163" s="5" t="str" cm="1">
        <f t="array" ref="F163">_xll.BDP(bonds[[#This Row],[worksheet get]],bonds[[#Headers],[ID_ISIN]])</f>
        <v>FR0013399177</v>
      </c>
      <c r="G163" s="5" t="str" cm="1">
        <f t="array" ref="G163">_xll.BDP(bonds[[#This Row],[worksheet get]],bonds[[#Headers],[security name]])</f>
        <v>ACFP 4 3/8 PERP</v>
      </c>
      <c r="H163" s="5" t="str" cm="1">
        <f t="array" ref="H163">_xll.BDP(bonds[[#This Row],[worksheet get]],bonds[[#Headers],[ticker]])</f>
        <v>ACFP</v>
      </c>
      <c r="I163" s="5" cm="1">
        <f t="array" ref="I163">_xll.BDP(bonds[[#This Row],[worksheet get]],bonds[[#Headers],[coupon]])</f>
        <v>4.375</v>
      </c>
      <c r="J163" s="8" cm="1">
        <f t="array" ref="J163">_xll.BDP(bonds[[#This Row],[worksheet get]],bonds[[#Headers],[nxt_call_dt]])*1</f>
        <v>45321</v>
      </c>
      <c r="K163" s="9" t="str" cm="1">
        <f t="array" ref="K163">_xll.BDP(bonds[[#This Row],[worksheet get]],bonds[[#Headers],[mty_typ]])</f>
        <v>PERP/CALL</v>
      </c>
      <c r="L163" s="9" t="str" cm="1">
        <f t="array" ref="L163">_xll.BDP(bonds[[#This Row],[worksheet get]],bonds[[#Headers],[crncy]])</f>
        <v>EUR</v>
      </c>
      <c r="M163" s="10" cm="1">
        <f t="array" ref="M163">_xll.BDP(bonds[[#This Row],[worksheet get]],bonds[[#Headers],[amt_outstanding]])</f>
        <v>500000000</v>
      </c>
      <c r="N163" s="9" t="str" cm="1">
        <f t="array" ref="N163">_xll.BDP(bonds[[#This Row],[worksheet get]],bonds[[#Headers],[industry_sector]])</f>
        <v>Consumer, Cyclical</v>
      </c>
      <c r="O163" s="9" t="str">
        <f>bonds[[#This Row],[security name]]&amp;" nc-"&amp;RIGHT(YEAR(bonds[[#This Row],[nxt_call_dt]]),2)</f>
        <v>ACFP 4 3/8 PERP nc-24</v>
      </c>
    </row>
    <row r="164" spans="5:15" x14ac:dyDescent="0.25">
      <c r="E164" s="5" t="s">
        <v>377</v>
      </c>
      <c r="F164" s="5" t="str" cm="1">
        <f t="array" ref="F164">_xll.BDP(bonds[[#This Row],[worksheet get]],bonds[[#Headers],[ID_ISIN]])</f>
        <v>FR0013457157</v>
      </c>
      <c r="G164" s="5" t="str" cm="1">
        <f t="array" ref="G164">_xll.BDP(bonds[[#This Row],[worksheet get]],bonds[[#Headers],[security name]])</f>
        <v>ACFP 2 5/8 PERP</v>
      </c>
      <c r="H164" s="5" t="str" cm="1">
        <f t="array" ref="H164">_xll.BDP(bonds[[#This Row],[worksheet get]],bonds[[#Headers],[ticker]])</f>
        <v>ACFP</v>
      </c>
      <c r="I164" s="5" cm="1">
        <f t="array" ref="I164">_xll.BDP(bonds[[#This Row],[worksheet get]],bonds[[#Headers],[coupon]])</f>
        <v>2.625</v>
      </c>
      <c r="J164" s="8" cm="1">
        <f t="array" ref="J164">_xll.BDP(bonds[[#This Row],[worksheet get]],bonds[[#Headers],[nxt_call_dt]])*1</f>
        <v>45687</v>
      </c>
      <c r="K164" s="9" t="str" cm="1">
        <f t="array" ref="K164">_xll.BDP(bonds[[#This Row],[worksheet get]],bonds[[#Headers],[mty_typ]])</f>
        <v>PERP/CALL</v>
      </c>
      <c r="L164" s="9" t="str" cm="1">
        <f t="array" ref="L164">_xll.BDP(bonds[[#This Row],[worksheet get]],bonds[[#Headers],[crncy]])</f>
        <v>EUR</v>
      </c>
      <c r="M164" s="10" cm="1">
        <f t="array" ref="M164">_xll.BDP(bonds[[#This Row],[worksheet get]],bonds[[#Headers],[amt_outstanding]])</f>
        <v>500000000</v>
      </c>
      <c r="N164" s="9" t="str" cm="1">
        <f t="array" ref="N164">_xll.BDP(bonds[[#This Row],[worksheet get]],bonds[[#Headers],[industry_sector]])</f>
        <v>Consumer, Cyclical</v>
      </c>
      <c r="O164" s="9" t="str">
        <f>bonds[[#This Row],[security name]]&amp;" nc-"&amp;RIGHT(YEAR(bonds[[#This Row],[nxt_call_dt]]),2)</f>
        <v>ACFP 2 5/8 PERP nc-25</v>
      </c>
    </row>
    <row r="165" spans="5:15" x14ac:dyDescent="0.25">
      <c r="E165" s="5" t="s">
        <v>378</v>
      </c>
      <c r="F165" s="5" t="str" cm="1">
        <f t="array" ref="F165">_xll.BDP(bonds[[#This Row],[worksheet get]],bonds[[#Headers],[ID_ISIN]])</f>
        <v>FR0012650281</v>
      </c>
      <c r="G165" s="5" t="str" cm="1">
        <f t="array" ref="G165">_xll.BDP(bonds[[#This Row],[worksheet get]],bonds[[#Headers],[security name]])</f>
        <v>AFFP 6 1/4 PERP</v>
      </c>
      <c r="H165" s="5" t="str" cm="1">
        <f t="array" ref="H165">_xll.BDP(bonds[[#This Row],[worksheet get]],bonds[[#Headers],[ticker]])</f>
        <v>AFFP</v>
      </c>
      <c r="I165" s="5" cm="1">
        <f t="array" ref="I165">_xll.BDP(bonds[[#This Row],[worksheet get]],bonds[[#Headers],[coupon]])</f>
        <v>6.25</v>
      </c>
      <c r="J165" s="8" cm="1">
        <f t="array" ref="J165">_xll.BDP(bonds[[#This Row],[worksheet get]],bonds[[#Headers],[nxt_call_dt]])*1</f>
        <v>44105</v>
      </c>
      <c r="K165" s="9" t="str" cm="1">
        <f t="array" ref="K165">_xll.BDP(bonds[[#This Row],[worksheet get]],bonds[[#Headers],[mty_typ]])</f>
        <v>PERP/CALL</v>
      </c>
      <c r="L165" s="9" t="str" cm="1">
        <f t="array" ref="L165">_xll.BDP(bonds[[#This Row],[worksheet get]],bonds[[#Headers],[crncy]])</f>
        <v>EUR</v>
      </c>
      <c r="M165" s="10" cm="1">
        <f t="array" ref="M165">_xll.BDP(bonds[[#This Row],[worksheet get]],bonds[[#Headers],[amt_outstanding]])</f>
        <v>405500000</v>
      </c>
      <c r="N165" s="9" t="str" cm="1">
        <f t="array" ref="N165">_xll.BDP(bonds[[#This Row],[worksheet get]],bonds[[#Headers],[industry_sector]])</f>
        <v>Consumer, Cyclical</v>
      </c>
      <c r="O165" s="9" t="str">
        <f>bonds[[#This Row],[security name]]&amp;" nc-"&amp;RIGHT(YEAR(bonds[[#This Row],[nxt_call_dt]]),2)</f>
        <v>AFFP 6 1/4 PERP nc-20</v>
      </c>
    </row>
    <row r="166" spans="5:15" x14ac:dyDescent="0.25">
      <c r="E166" s="5" t="s">
        <v>379</v>
      </c>
      <c r="F166" s="5" t="str" cm="1">
        <f t="array" ref="F166">_xll.BDP(bonds[[#This Row],[worksheet get]],bonds[[#Headers],[ID_ISIN]])</f>
        <v>XS1271836600</v>
      </c>
      <c r="G166" s="5" t="str" cm="1">
        <f t="array" ref="G166">_xll.BDP(bonds[[#This Row],[worksheet get]],bonds[[#Headers],[security name]])</f>
        <v>LHAGR 5 1/8 08/12/75</v>
      </c>
      <c r="H166" s="5" t="str" cm="1">
        <f t="array" ref="H166">_xll.BDP(bonds[[#This Row],[worksheet get]],bonds[[#Headers],[ticker]])</f>
        <v>LHAGR</v>
      </c>
      <c r="I166" s="5" cm="1">
        <f t="array" ref="I166">_xll.BDP(bonds[[#This Row],[worksheet get]],bonds[[#Headers],[coupon]])</f>
        <v>5.125</v>
      </c>
      <c r="J166" s="8" cm="1">
        <f t="array" ref="J166">_xll.BDP(bonds[[#This Row],[worksheet get]],bonds[[#Headers],[nxt_call_dt]])*1</f>
        <v>44239</v>
      </c>
      <c r="K166" s="9" t="str" cm="1">
        <f t="array" ref="K166">_xll.BDP(bonds[[#This Row],[worksheet get]],bonds[[#Headers],[mty_typ]])</f>
        <v>CALLABLE</v>
      </c>
      <c r="L166" s="9" t="str" cm="1">
        <f t="array" ref="L166">_xll.BDP(bonds[[#This Row],[worksheet get]],bonds[[#Headers],[crncy]])</f>
        <v>EUR</v>
      </c>
      <c r="M166" s="10" cm="1">
        <f t="array" ref="M166">_xll.BDP(bonds[[#This Row],[worksheet get]],bonds[[#Headers],[amt_outstanding]])</f>
        <v>500000000</v>
      </c>
      <c r="N166" s="9" t="str" cm="1">
        <f t="array" ref="N166">_xll.BDP(bonds[[#This Row],[worksheet get]],bonds[[#Headers],[industry_sector]])</f>
        <v>Consumer, Cyclical</v>
      </c>
      <c r="O166" s="9" t="str">
        <f>bonds[[#This Row],[security name]]&amp;" nc-"&amp;RIGHT(YEAR(bonds[[#This Row],[nxt_call_dt]]),2)</f>
        <v>LHAGR 5 1/8 08/12/75 nc-21</v>
      </c>
    </row>
    <row r="167" spans="5:15" x14ac:dyDescent="0.25">
      <c r="E167" s="5" t="s">
        <v>380</v>
      </c>
      <c r="F167" s="5" t="str" cm="1">
        <f t="array" ref="F167">_xll.BDP(bonds[[#This Row],[worksheet get]],bonds[[#Headers],[ID_ISIN]])</f>
        <v>XS1716927766</v>
      </c>
      <c r="G167" s="5" t="str" cm="1">
        <f t="array" ref="G167">_xll.BDP(bonds[[#This Row],[worksheet get]],bonds[[#Headers],[security name]])</f>
        <v>FERSM 2.124 PERP</v>
      </c>
      <c r="H167" s="5" t="str" cm="1">
        <f t="array" ref="H167">_xll.BDP(bonds[[#This Row],[worksheet get]],bonds[[#Headers],[ticker]])</f>
        <v>FERSM</v>
      </c>
      <c r="I167" s="5" cm="1">
        <f t="array" ref="I167">_xll.BDP(bonds[[#This Row],[worksheet get]],bonds[[#Headers],[coupon]])</f>
        <v>2.1240000000000001</v>
      </c>
      <c r="J167" s="8" cm="1">
        <f t="array" ref="J167">_xll.BDP(bonds[[#This Row],[worksheet get]],bonds[[#Headers],[nxt_call_dt]])*1</f>
        <v>44971</v>
      </c>
      <c r="K167" s="9" t="str" cm="1">
        <f t="array" ref="K167">_xll.BDP(bonds[[#This Row],[worksheet get]],bonds[[#Headers],[mty_typ]])</f>
        <v>PERP/CALL</v>
      </c>
      <c r="L167" s="9" t="str" cm="1">
        <f t="array" ref="L167">_xll.BDP(bonds[[#This Row],[worksheet get]],bonds[[#Headers],[crncy]])</f>
        <v>EUR</v>
      </c>
      <c r="M167" s="10" cm="1">
        <f t="array" ref="M167">_xll.BDP(bonds[[#This Row],[worksheet get]],bonds[[#Headers],[amt_outstanding]])</f>
        <v>500000000</v>
      </c>
      <c r="N167" s="9" t="str" cm="1">
        <f t="array" ref="N167">_xll.BDP(bonds[[#This Row],[worksheet get]],bonds[[#Headers],[industry_sector]])</f>
        <v>Industrial</v>
      </c>
      <c r="O167" s="9" t="str">
        <f>bonds[[#This Row],[security name]]&amp;" nc-"&amp;RIGHT(YEAR(bonds[[#This Row],[nxt_call_dt]]),2)</f>
        <v>FERSM 2.124 PERP nc-23</v>
      </c>
    </row>
    <row r="168" spans="5:15" x14ac:dyDescent="0.25">
      <c r="E168" s="5" t="s">
        <v>381</v>
      </c>
      <c r="F168" s="5" t="str" cm="1">
        <f t="array" ref="F168">_xll.BDP(bonds[[#This Row],[worksheet get]],bonds[[#Headers],[ID_ISIN]])</f>
        <v>XS1117300837</v>
      </c>
      <c r="G168" s="5" t="str" cm="1">
        <f t="array" ref="G168">_xll.BDP(bonds[[#This Row],[worksheet get]],bonds[[#Headers],[security name]])</f>
        <v>ANNGR 4 PERP</v>
      </c>
      <c r="H168" s="5" t="str" cm="1">
        <f t="array" ref="H168">_xll.BDP(bonds[[#This Row],[worksheet get]],bonds[[#Headers],[ticker]])</f>
        <v>ANNGR</v>
      </c>
      <c r="I168" s="5" cm="1">
        <f t="array" ref="I168">_xll.BDP(bonds[[#This Row],[worksheet get]],bonds[[#Headers],[coupon]])</f>
        <v>4</v>
      </c>
      <c r="J168" s="8" cm="1">
        <f t="array" ref="J168">_xll.BDP(bonds[[#This Row],[worksheet get]],bonds[[#Headers],[nxt_call_dt]])*1</f>
        <v>44547</v>
      </c>
      <c r="K168" s="9" t="str" cm="1">
        <f t="array" ref="K168">_xll.BDP(bonds[[#This Row],[worksheet get]],bonds[[#Headers],[mty_typ]])</f>
        <v>PERP/CALL</v>
      </c>
      <c r="L168" s="9" t="str" cm="1">
        <f t="array" ref="L168">_xll.BDP(bonds[[#This Row],[worksheet get]],bonds[[#Headers],[crncy]])</f>
        <v>EUR</v>
      </c>
      <c r="M168" s="10" cm="1">
        <f t="array" ref="M168">_xll.BDP(bonds[[#This Row],[worksheet get]],bonds[[#Headers],[amt_outstanding]])</f>
        <v>1000000000</v>
      </c>
      <c r="N168" s="9" t="str" cm="1">
        <f t="array" ref="N168">_xll.BDP(bonds[[#This Row],[worksheet get]],bonds[[#Headers],[industry_sector]])</f>
        <v>Financial</v>
      </c>
      <c r="O168" s="9" t="str">
        <f>bonds[[#This Row],[security name]]&amp;" nc-"&amp;RIGHT(YEAR(bonds[[#This Row],[nxt_call_dt]]),2)</f>
        <v>ANNGR 4 PERP nc-21</v>
      </c>
    </row>
    <row r="169" spans="5:15" x14ac:dyDescent="0.25">
      <c r="E169" s="5" t="s">
        <v>140</v>
      </c>
      <c r="F169" s="5" t="str" cm="1">
        <f t="array" ref="F169">_xll.BDP(bonds[[#This Row],[worksheet get]],bonds[[#Headers],[ID_ISIN]])</f>
        <v>FR0013330529</v>
      </c>
      <c r="G169" s="5" t="str" cm="1">
        <f t="array" ref="G169">_xll.BDP(bonds[[#This Row],[worksheet get]],bonds[[#Headers],[security name]])</f>
        <v>ULFP 2 1/8 PERP</v>
      </c>
      <c r="H169" s="5" t="str" cm="1">
        <f t="array" ref="H169">_xll.BDP(bonds[[#This Row],[worksheet get]],bonds[[#Headers],[ticker]])</f>
        <v>ULFP</v>
      </c>
      <c r="I169" s="5" cm="1">
        <f t="array" ref="I169">_xll.BDP(bonds[[#This Row],[worksheet get]],bonds[[#Headers],[coupon]])</f>
        <v>2.125</v>
      </c>
      <c r="J169" s="8" cm="1">
        <f t="array" ref="J169">_xll.BDP(bonds[[#This Row],[worksheet get]],bonds[[#Headers],[nxt_call_dt]])*1</f>
        <v>45132</v>
      </c>
      <c r="K169" s="9" t="str" cm="1">
        <f t="array" ref="K169">_xll.BDP(bonds[[#This Row],[worksheet get]],bonds[[#Headers],[mty_typ]])</f>
        <v>PERP/CALL</v>
      </c>
      <c r="L169" s="9" t="str" cm="1">
        <f t="array" ref="L169">_xll.BDP(bonds[[#This Row],[worksheet get]],bonds[[#Headers],[crncy]])</f>
        <v>EUR</v>
      </c>
      <c r="M169" s="10" cm="1">
        <f t="array" ref="M169">_xll.BDP(bonds[[#This Row],[worksheet get]],bonds[[#Headers],[amt_outstanding]])</f>
        <v>1250000000</v>
      </c>
      <c r="N169" s="9" t="str" cm="1">
        <f t="array" ref="N169">_xll.BDP(bonds[[#This Row],[worksheet get]],bonds[[#Headers],[industry_sector]])</f>
        <v>Financial</v>
      </c>
      <c r="O169" s="9" t="str">
        <f>bonds[[#This Row],[security name]]&amp;" nc-"&amp;RIGHT(YEAR(bonds[[#This Row],[nxt_call_dt]]),2)</f>
        <v>ULFP 2 1/8 PERP nc-23</v>
      </c>
    </row>
    <row r="170" spans="5:15" x14ac:dyDescent="0.25">
      <c r="E170" s="5" t="s">
        <v>141</v>
      </c>
      <c r="F170" s="5" t="str" cm="1">
        <f t="array" ref="F170">_xll.BDP(bonds[[#This Row],[worksheet get]],bonds[[#Headers],[ID_ISIN]])</f>
        <v>FR0013330537</v>
      </c>
      <c r="G170" s="5" t="str" cm="1">
        <f t="array" ref="G170">_xll.BDP(bonds[[#This Row],[worksheet get]],bonds[[#Headers],[security name]])</f>
        <v>ULFP 2 7/8 PERP</v>
      </c>
      <c r="H170" s="5" t="str" cm="1">
        <f t="array" ref="H170">_xll.BDP(bonds[[#This Row],[worksheet get]],bonds[[#Headers],[ticker]])</f>
        <v>ULFP</v>
      </c>
      <c r="I170" s="5" cm="1">
        <f t="array" ref="I170">_xll.BDP(bonds[[#This Row],[worksheet get]],bonds[[#Headers],[coupon]])</f>
        <v>2.875</v>
      </c>
      <c r="J170" s="8" cm="1">
        <f t="array" ref="J170">_xll.BDP(bonds[[#This Row],[worksheet get]],bonds[[#Headers],[nxt_call_dt]])*1</f>
        <v>46047</v>
      </c>
      <c r="K170" s="9" t="str" cm="1">
        <f t="array" ref="K170">_xll.BDP(bonds[[#This Row],[worksheet get]],bonds[[#Headers],[mty_typ]])</f>
        <v>PERP/CALL</v>
      </c>
      <c r="L170" s="9" t="str" cm="1">
        <f t="array" ref="L170">_xll.BDP(bonds[[#This Row],[worksheet get]],bonds[[#Headers],[crncy]])</f>
        <v>EUR</v>
      </c>
      <c r="M170" s="10" cm="1">
        <f t="array" ref="M170">_xll.BDP(bonds[[#This Row],[worksheet get]],bonds[[#Headers],[amt_outstanding]])</f>
        <v>750000000</v>
      </c>
      <c r="N170" s="9" t="str" cm="1">
        <f t="array" ref="N170">_xll.BDP(bonds[[#This Row],[worksheet get]],bonds[[#Headers],[industry_sector]])</f>
        <v>Financial</v>
      </c>
      <c r="O170" s="9" t="str">
        <f>bonds[[#This Row],[security name]]&amp;" nc-"&amp;RIGHT(YEAR(bonds[[#This Row],[nxt_call_dt]]),2)</f>
        <v>ULFP 2 7/8 PERP nc-26</v>
      </c>
    </row>
    <row r="171" spans="5:15" x14ac:dyDescent="0.25">
      <c r="E171" s="5" t="s">
        <v>71</v>
      </c>
      <c r="F171" s="5" t="str" cm="1">
        <f t="array" ref="F171">_xll.BDP(bonds[[#This Row],[worksheet get]],bonds[[#Headers],[ID_ISIN]])</f>
        <v>XS1788973573</v>
      </c>
      <c r="G171" s="5" t="str" cm="1">
        <f t="array" ref="G171">_xll.BDP(bonds[[#This Row],[worksheet get]],bonds[[#Headers],[security name]])</f>
        <v>AKFAST 3 7/8 10/05/78</v>
      </c>
      <c r="H171" s="5" t="str" cm="1">
        <f t="array" ref="H171">_xll.BDP(bonds[[#This Row],[worksheet get]],bonds[[#Headers],[ticker]])</f>
        <v>AKFAST</v>
      </c>
      <c r="I171" s="5" cm="1">
        <f t="array" ref="I171">_xll.BDP(bonds[[#This Row],[worksheet get]],bonds[[#Headers],[coupon]])</f>
        <v>3.875</v>
      </c>
      <c r="J171" s="8" cm="1">
        <f t="array" ref="J171">_xll.BDP(bonds[[#This Row],[worksheet get]],bonds[[#Headers],[nxt_call_dt]])*1</f>
        <v>45115</v>
      </c>
      <c r="K171" s="9" t="str" cm="1">
        <f t="array" ref="K171">_xll.BDP(bonds[[#This Row],[worksheet get]],bonds[[#Headers],[mty_typ]])</f>
        <v>CALLABLE</v>
      </c>
      <c r="L171" s="9" t="str" cm="1">
        <f t="array" ref="L171">_xll.BDP(bonds[[#This Row],[worksheet get]],bonds[[#Headers],[crncy]])</f>
        <v>EUR</v>
      </c>
      <c r="M171" s="10" cm="1">
        <f t="array" ref="M171">_xll.BDP(bonds[[#This Row],[worksheet get]],bonds[[#Headers],[amt_outstanding]])</f>
        <v>500000000</v>
      </c>
      <c r="N171" s="9" t="str" cm="1">
        <f t="array" ref="N171">_xll.BDP(bonds[[#This Row],[worksheet get]],bonds[[#Headers],[industry_sector]])</f>
        <v>Financial</v>
      </c>
      <c r="O171" s="9" t="str">
        <f>bonds[[#This Row],[security name]]&amp;" nc-"&amp;RIGHT(YEAR(bonds[[#This Row],[nxt_call_dt]]),2)</f>
        <v>AKFAST 3 7/8 10/05/78 nc-23</v>
      </c>
    </row>
    <row r="172" spans="5:15" x14ac:dyDescent="0.25">
      <c r="E172" s="5" t="s">
        <v>72</v>
      </c>
      <c r="F172" s="5" t="str" cm="1">
        <f t="array" ref="F172">_xll.BDP(bonds[[#This Row],[worksheet get]],bonds[[#Headers],[ID_ISIN]])</f>
        <v>XS2110077299</v>
      </c>
      <c r="G172" s="5" t="str" cm="1">
        <f t="array" ref="G172">_xll.BDP(bonds[[#This Row],[worksheet get]],bonds[[#Headers],[security name]])</f>
        <v>AKFAST 2.249 05/17/81</v>
      </c>
      <c r="H172" s="5" t="str" cm="1">
        <f t="array" ref="H172">_xll.BDP(bonds[[#This Row],[worksheet get]],bonds[[#Headers],[ticker]])</f>
        <v>AKFAST</v>
      </c>
      <c r="I172" s="5" cm="1">
        <f t="array" ref="I172">_xll.BDP(bonds[[#This Row],[worksheet get]],bonds[[#Headers],[coupon]])</f>
        <v>2.2490000000000001</v>
      </c>
      <c r="J172" s="8" cm="1">
        <f t="array" ref="J172">_xll.BDP(bonds[[#This Row],[worksheet get]],bonds[[#Headers],[nxt_call_dt]])*1</f>
        <v>46070</v>
      </c>
      <c r="K172" s="9" t="str" cm="1">
        <f t="array" ref="K172">_xll.BDP(bonds[[#This Row],[worksheet get]],bonds[[#Headers],[mty_typ]])</f>
        <v>CALLABLE</v>
      </c>
      <c r="L172" s="9" t="str" cm="1">
        <f t="array" ref="L172">_xll.BDP(bonds[[#This Row],[worksheet get]],bonds[[#Headers],[crncy]])</f>
        <v>EUR</v>
      </c>
      <c r="M172" s="10" cm="1">
        <f t="array" ref="M172">_xll.BDP(bonds[[#This Row],[worksheet get]],bonds[[#Headers],[amt_outstanding]])</f>
        <v>500000000</v>
      </c>
      <c r="N172" s="9" t="str" cm="1">
        <f t="array" ref="N172">_xll.BDP(bonds[[#This Row],[worksheet get]],bonds[[#Headers],[industry_sector]])</f>
        <v>Financial</v>
      </c>
      <c r="O172" s="9" t="str">
        <f>bonds[[#This Row],[security name]]&amp;" nc-"&amp;RIGHT(YEAR(bonds[[#This Row],[nxt_call_dt]]),2)</f>
        <v>AKFAST 2.249 05/17/81 nc-26</v>
      </c>
    </row>
    <row r="173" spans="5:15" x14ac:dyDescent="0.25">
      <c r="E173" s="5" t="s">
        <v>382</v>
      </c>
      <c r="F173" s="5" t="str" cm="1">
        <f t="array" ref="F173">_xll.BDP(bonds[[#This Row],[worksheet get]],bonds[[#Headers],[ID_ISIN]])</f>
        <v>XS1677911825</v>
      </c>
      <c r="G173" s="5" t="str" cm="1">
        <f t="array" ref="G173">_xll.BDP(bonds[[#This Row],[worksheet get]],bonds[[#Headers],[security name]])</f>
        <v>BALDER 3 03/07/78</v>
      </c>
      <c r="H173" s="5" t="str" cm="1">
        <f t="array" ref="H173">_xll.BDP(bonds[[#This Row],[worksheet get]],bonds[[#Headers],[ticker]])</f>
        <v>BALDER</v>
      </c>
      <c r="I173" s="5" cm="1">
        <f t="array" ref="I173">_xll.BDP(bonds[[#This Row],[worksheet get]],bonds[[#Headers],[coupon]])</f>
        <v>3</v>
      </c>
      <c r="J173" s="8" cm="1">
        <f t="array" ref="J173">_xll.BDP(bonds[[#This Row],[worksheet get]],bonds[[#Headers],[nxt_call_dt]])*1</f>
        <v>44992</v>
      </c>
      <c r="K173" s="9" t="str" cm="1">
        <f t="array" ref="K173">_xll.BDP(bonds[[#This Row],[worksheet get]],bonds[[#Headers],[mty_typ]])</f>
        <v>CALLABLE</v>
      </c>
      <c r="L173" s="9" t="str" cm="1">
        <f t="array" ref="L173">_xll.BDP(bonds[[#This Row],[worksheet get]],bonds[[#Headers],[crncy]])</f>
        <v>EUR</v>
      </c>
      <c r="M173" s="10" cm="1">
        <f t="array" ref="M173">_xll.BDP(bonds[[#This Row],[worksheet get]],bonds[[#Headers],[amt_outstanding]])</f>
        <v>350000000</v>
      </c>
      <c r="N173" s="9" t="str" cm="1">
        <f t="array" ref="N173">_xll.BDP(bonds[[#This Row],[worksheet get]],bonds[[#Headers],[industry_sector]])</f>
        <v>Financial</v>
      </c>
      <c r="O173" s="9" t="str">
        <f>bonds[[#This Row],[security name]]&amp;" nc-"&amp;RIGHT(YEAR(bonds[[#This Row],[nxt_call_dt]]),2)</f>
        <v>BALDER 3 03/07/78 nc-23</v>
      </c>
    </row>
    <row r="174" spans="5:15" x14ac:dyDescent="0.25">
      <c r="E174" s="5" t="s">
        <v>383</v>
      </c>
      <c r="F174" s="5" t="str" cm="1">
        <f t="array" ref="F174">_xll.BDP(bonds[[#This Row],[worksheet get]],bonds[[#Headers],[ID_ISIN]])</f>
        <v>XS2055106210</v>
      </c>
      <c r="G174" s="5" t="str" cm="1">
        <f t="array" ref="G174">_xll.BDP(bonds[[#This Row],[worksheet get]],bonds[[#Headers],[security name]])</f>
        <v>TLGGR 3 3/8 PERP</v>
      </c>
      <c r="H174" s="5" t="str" cm="1">
        <f t="array" ref="H174">_xll.BDP(bonds[[#This Row],[worksheet get]],bonds[[#Headers],[ticker]])</f>
        <v>TLGGR</v>
      </c>
      <c r="I174" s="5" cm="1">
        <f t="array" ref="I174">_xll.BDP(bonds[[#This Row],[worksheet get]],bonds[[#Headers],[coupon]])</f>
        <v>3.375</v>
      </c>
      <c r="J174" s="8" cm="1">
        <f t="array" ref="J174">_xll.BDP(bonds[[#This Row],[worksheet get]],bonds[[#Headers],[nxt_call_dt]])*1</f>
        <v>45558</v>
      </c>
      <c r="K174" s="9" t="str" cm="1">
        <f t="array" ref="K174">_xll.BDP(bonds[[#This Row],[worksheet get]],bonds[[#Headers],[mty_typ]])</f>
        <v>PERP/CALL</v>
      </c>
      <c r="L174" s="9" t="str" cm="1">
        <f t="array" ref="L174">_xll.BDP(bonds[[#This Row],[worksheet get]],bonds[[#Headers],[crncy]])</f>
        <v>EUR</v>
      </c>
      <c r="M174" s="10" cm="1">
        <f t="array" ref="M174">_xll.BDP(bonds[[#This Row],[worksheet get]],bonds[[#Headers],[amt_outstanding]])</f>
        <v>600000000</v>
      </c>
      <c r="N174" s="9" t="str" cm="1">
        <f t="array" ref="N174">_xll.BDP(bonds[[#This Row],[worksheet get]],bonds[[#Headers],[industry_sector]])</f>
        <v>Financial</v>
      </c>
      <c r="O174" s="9" t="str">
        <f>bonds[[#This Row],[security name]]&amp;" nc-"&amp;RIGHT(YEAR(bonds[[#This Row],[nxt_call_dt]]),2)</f>
        <v>TLGGR 3 3/8 PERP nc-24</v>
      </c>
    </row>
    <row r="175" spans="5:15" x14ac:dyDescent="0.25">
      <c r="E175" s="5" t="s">
        <v>384</v>
      </c>
      <c r="F175" s="5" t="str" cm="1">
        <f t="array" ref="F175">_xll.BDP(bonds[[#This Row],[worksheet get]],bonds[[#Headers],[ID_ISIN]])</f>
        <v>XS2010037765</v>
      </c>
      <c r="G175" s="5" t="str" cm="1">
        <f t="array" ref="G175">_xll.BDP(bonds[[#This Row],[worksheet get]],bonds[[#Headers],[security name]])</f>
        <v>HEIBOS 3.248 PERP</v>
      </c>
      <c r="H175" s="5" t="str" cm="1">
        <f t="array" ref="H175">_xll.BDP(bonds[[#This Row],[worksheet get]],bonds[[#Headers],[ticker]])</f>
        <v>HEIBOS</v>
      </c>
      <c r="I175" s="5" cm="1">
        <f t="array" ref="I175">_xll.BDP(bonds[[#This Row],[worksheet get]],bonds[[#Headers],[coupon]])</f>
        <v>3.2480000000000002</v>
      </c>
      <c r="J175" s="8" cm="1">
        <f t="array" ref="J175">_xll.BDP(bonds[[#This Row],[worksheet get]],bonds[[#Headers],[nxt_call_dt]])*1</f>
        <v>45615</v>
      </c>
      <c r="K175" s="9" t="str" cm="1">
        <f t="array" ref="K175">_xll.BDP(bonds[[#This Row],[worksheet get]],bonds[[#Headers],[mty_typ]])</f>
        <v>PERP/CALL</v>
      </c>
      <c r="L175" s="9" t="str" cm="1">
        <f t="array" ref="L175">_xll.BDP(bonds[[#This Row],[worksheet get]],bonds[[#Headers],[crncy]])</f>
        <v>EUR</v>
      </c>
      <c r="M175" s="10" cm="1">
        <f t="array" ref="M175">_xll.BDP(bonds[[#This Row],[worksheet get]],bonds[[#Headers],[amt_outstanding]])</f>
        <v>800000000</v>
      </c>
      <c r="N175" s="9" t="str" cm="1">
        <f t="array" ref="N175">_xll.BDP(bonds[[#This Row],[worksheet get]],bonds[[#Headers],[industry_sector]])</f>
        <v>Financial</v>
      </c>
      <c r="O175" s="9" t="str">
        <f>bonds[[#This Row],[security name]]&amp;" nc-"&amp;RIGHT(YEAR(bonds[[#This Row],[nxt_call_dt]]),2)</f>
        <v>HEIBOS 3.248 PERP nc-24</v>
      </c>
    </row>
    <row r="176" spans="5:15" x14ac:dyDescent="0.25">
      <c r="E176" s="5" t="s">
        <v>86</v>
      </c>
      <c r="F176" s="5" t="str" cm="1">
        <f t="array" ref="F176">_xll.BDP(bonds[[#This Row],[worksheet get]],bonds[[#Headers],[ID_ISIN]])</f>
        <v>XS1974894138</v>
      </c>
      <c r="G176" s="5" t="str" cm="1">
        <f t="array" ref="G176">_xll.BDP(bonds[[#This Row],[worksheet get]],bonds[[#Headers],[security name]])</f>
        <v>SBBBSS 4 5/8 PERP</v>
      </c>
      <c r="H176" s="5" t="str" cm="1">
        <f t="array" ref="H176">_xll.BDP(bonds[[#This Row],[worksheet get]],bonds[[#Headers],[ticker]])</f>
        <v>SBBBSS</v>
      </c>
      <c r="I176" s="5" cm="1">
        <f t="array" ref="I176">_xll.BDP(bonds[[#This Row],[worksheet get]],bonds[[#Headers],[coupon]])</f>
        <v>4.625</v>
      </c>
      <c r="J176" s="8" cm="1">
        <f t="array" ref="J176">_xll.BDP(bonds[[#This Row],[worksheet get]],bonds[[#Headers],[nxt_call_dt]])*1</f>
        <v>45409</v>
      </c>
      <c r="K176" s="9" t="str" cm="1">
        <f t="array" ref="K176">_xll.BDP(bonds[[#This Row],[worksheet get]],bonds[[#Headers],[mty_typ]])</f>
        <v>PERP/CALL</v>
      </c>
      <c r="L176" s="9" t="str" cm="1">
        <f t="array" ref="L176">_xll.BDP(bonds[[#This Row],[worksheet get]],bonds[[#Headers],[crncy]])</f>
        <v>EUR</v>
      </c>
      <c r="M176" s="10" cm="1">
        <f t="array" ref="M176">_xll.BDP(bonds[[#This Row],[worksheet get]],bonds[[#Headers],[amt_outstanding]])</f>
        <v>300000000</v>
      </c>
      <c r="N176" s="9" t="str" cm="1">
        <f t="array" ref="N176">_xll.BDP(bonds[[#This Row],[worksheet get]],bonds[[#Headers],[industry_sector]])</f>
        <v>Financial</v>
      </c>
      <c r="O176" s="9" t="str">
        <f>bonds[[#This Row],[security name]]&amp;" nc-"&amp;RIGHT(YEAR(bonds[[#This Row],[nxt_call_dt]]),2)</f>
        <v>SBBBSS 4 5/8 PERP nc-24</v>
      </c>
    </row>
    <row r="177" spans="5:15" x14ac:dyDescent="0.25">
      <c r="E177" s="5" t="s">
        <v>87</v>
      </c>
      <c r="F177" s="5" t="str" cm="1">
        <f t="array" ref="F177">_xll.BDP(bonds[[#This Row],[worksheet get]],bonds[[#Headers],[ID_ISIN]])</f>
        <v>XS2010032618</v>
      </c>
      <c r="G177" s="5" t="str" cm="1">
        <f t="array" ref="G177">_xll.BDP(bonds[[#This Row],[worksheet get]],bonds[[#Headers],[security name]])</f>
        <v>SBBBSS 2.624 PERP</v>
      </c>
      <c r="H177" s="5" t="str" cm="1">
        <f t="array" ref="H177">_xll.BDP(bonds[[#This Row],[worksheet get]],bonds[[#Headers],[ticker]])</f>
        <v>SBBBSS</v>
      </c>
      <c r="I177" s="5" cm="1">
        <f t="array" ref="I177">_xll.BDP(bonds[[#This Row],[worksheet get]],bonds[[#Headers],[coupon]])</f>
        <v>2.6240000000000001</v>
      </c>
      <c r="J177" s="8" cm="1">
        <f t="array" ref="J177">_xll.BDP(bonds[[#This Row],[worksheet get]],bonds[[#Headers],[nxt_call_dt]])*1</f>
        <v>45687</v>
      </c>
      <c r="K177" s="9" t="str" cm="1">
        <f t="array" ref="K177">_xll.BDP(bonds[[#This Row],[worksheet get]],bonds[[#Headers],[mty_typ]])</f>
        <v>PERP/CALL</v>
      </c>
      <c r="L177" s="9" t="str" cm="1">
        <f t="array" ref="L177">_xll.BDP(bonds[[#This Row],[worksheet get]],bonds[[#Headers],[crncy]])</f>
        <v>EUR</v>
      </c>
      <c r="M177" s="10" cm="1">
        <f t="array" ref="M177">_xll.BDP(bonds[[#This Row],[worksheet get]],bonds[[#Headers],[amt_outstanding]])</f>
        <v>500000000</v>
      </c>
      <c r="N177" s="9" t="str" cm="1">
        <f t="array" ref="N177">_xll.BDP(bonds[[#This Row],[worksheet get]],bonds[[#Headers],[industry_sector]])</f>
        <v>Financial</v>
      </c>
      <c r="O177" s="9" t="str">
        <f>bonds[[#This Row],[security name]]&amp;" nc-"&amp;RIGHT(YEAR(bonds[[#This Row],[nxt_call_dt]]),2)</f>
        <v>SBBBSS 2.624 PERP nc-25</v>
      </c>
    </row>
    <row r="178" spans="5:15" x14ac:dyDescent="0.25">
      <c r="E178" s="5" t="s">
        <v>385</v>
      </c>
      <c r="F178" s="5" t="str" cm="1">
        <f t="array" ref="F178">_xll.BDP(bonds[[#This Row],[worksheet get]],bonds[[#Headers],[ID_ISIN]])</f>
        <v>XS1508392625</v>
      </c>
      <c r="G178" s="5" t="str" cm="1">
        <f t="array" ref="G178">_xll.BDP(bonds[[#This Row],[worksheet get]],bonds[[#Headers],[security name]])</f>
        <v>ARNDTN 3 3/4 PERP</v>
      </c>
      <c r="H178" s="5" t="str" cm="1">
        <f t="array" ref="H178">_xll.BDP(bonds[[#This Row],[worksheet get]],bonds[[#Headers],[ticker]])</f>
        <v>ARNDTN</v>
      </c>
      <c r="I178" s="5" cm="1">
        <f t="array" ref="I178">_xll.BDP(bonds[[#This Row],[worksheet get]],bonds[[#Headers],[coupon]])</f>
        <v>3.75</v>
      </c>
      <c r="J178" s="8" cm="1">
        <f t="array" ref="J178">_xll.BDP(bonds[[#This Row],[worksheet get]],bonds[[#Headers],[nxt_call_dt]])*1</f>
        <v>44946</v>
      </c>
      <c r="K178" s="9" t="str" cm="1">
        <f t="array" ref="K178">_xll.BDP(bonds[[#This Row],[worksheet get]],bonds[[#Headers],[mty_typ]])</f>
        <v>PERP/CALL</v>
      </c>
      <c r="L178" s="9" t="str" cm="1">
        <f t="array" ref="L178">_xll.BDP(bonds[[#This Row],[worksheet get]],bonds[[#Headers],[crncy]])</f>
        <v>EUR</v>
      </c>
      <c r="M178" s="10" cm="1">
        <f t="array" ref="M178">_xll.BDP(bonds[[#This Row],[worksheet get]],bonds[[#Headers],[amt_outstanding]])</f>
        <v>600000000</v>
      </c>
      <c r="N178" s="9" t="str" cm="1">
        <f t="array" ref="N178">_xll.BDP(bonds[[#This Row],[worksheet get]],bonds[[#Headers],[industry_sector]])</f>
        <v>Financial</v>
      </c>
      <c r="O178" s="9" t="str">
        <f>bonds[[#This Row],[security name]]&amp;" nc-"&amp;RIGHT(YEAR(bonds[[#This Row],[nxt_call_dt]]),2)</f>
        <v>ARNDTN 3 3/4 PERP nc-23</v>
      </c>
    </row>
    <row r="179" spans="5:15" x14ac:dyDescent="0.25">
      <c r="E179" s="5" t="s">
        <v>386</v>
      </c>
      <c r="F179" s="5" t="str" cm="1">
        <f t="array" ref="F179">_xll.BDP(bonds[[#This Row],[worksheet get]],bonds[[#Headers],[ID_ISIN]])</f>
        <v>XS1752984440</v>
      </c>
      <c r="G179" s="5" t="str" cm="1">
        <f t="array" ref="G179">_xll.BDP(bonds[[#This Row],[worksheet get]],bonds[[#Headers],[security name]])</f>
        <v>ARNDTN 2 1/8 PERP</v>
      </c>
      <c r="H179" s="5" t="str" cm="1">
        <f t="array" ref="H179">_xll.BDP(bonds[[#This Row],[worksheet get]],bonds[[#Headers],[ticker]])</f>
        <v>ARNDTN</v>
      </c>
      <c r="I179" s="5" cm="1">
        <f t="array" ref="I179">_xll.BDP(bonds[[#This Row],[worksheet get]],bonds[[#Headers],[coupon]])</f>
        <v>2.125</v>
      </c>
      <c r="J179" s="8" cm="1">
        <f t="array" ref="J179">_xll.BDP(bonds[[#This Row],[worksheet get]],bonds[[#Headers],[nxt_call_dt]])*1</f>
        <v>45308</v>
      </c>
      <c r="K179" s="9" t="str" cm="1">
        <f t="array" ref="K179">_xll.BDP(bonds[[#This Row],[worksheet get]],bonds[[#Headers],[mty_typ]])</f>
        <v>PERP/CALL</v>
      </c>
      <c r="L179" s="9" t="str" cm="1">
        <f t="array" ref="L179">_xll.BDP(bonds[[#This Row],[worksheet get]],bonds[[#Headers],[crncy]])</f>
        <v>EUR</v>
      </c>
      <c r="M179" s="10" cm="1">
        <f t="array" ref="M179">_xll.BDP(bonds[[#This Row],[worksheet get]],bonds[[#Headers],[amt_outstanding]])</f>
        <v>400000000</v>
      </c>
      <c r="N179" s="9" t="str" cm="1">
        <f t="array" ref="N179">_xll.BDP(bonds[[#This Row],[worksheet get]],bonds[[#Headers],[industry_sector]])</f>
        <v>Financial</v>
      </c>
      <c r="O179" s="9" t="str">
        <f>bonds[[#This Row],[security name]]&amp;" nc-"&amp;RIGHT(YEAR(bonds[[#This Row],[nxt_call_dt]]),2)</f>
        <v>ARNDTN 2 1/8 PERP nc-24</v>
      </c>
    </row>
    <row r="180" spans="5:15" x14ac:dyDescent="0.25">
      <c r="E180" s="5" t="s">
        <v>387</v>
      </c>
      <c r="F180" s="5" t="str" cm="1">
        <f t="array" ref="F180">_xll.BDP(bonds[[#This Row],[worksheet get]],bonds[[#Headers],[ID_ISIN]])</f>
        <v>XS2027946610</v>
      </c>
      <c r="G180" s="5" t="str" cm="1">
        <f t="array" ref="G180">_xll.BDP(bonds[[#This Row],[worksheet get]],bonds[[#Headers],[security name]])</f>
        <v>ARNDTN 2 7/8 PERP</v>
      </c>
      <c r="H180" s="5" t="str" cm="1">
        <f t="array" ref="H180">_xll.BDP(bonds[[#This Row],[worksheet get]],bonds[[#Headers],[ticker]])</f>
        <v>ARNDTN</v>
      </c>
      <c r="I180" s="5" cm="1">
        <f t="array" ref="I180">_xll.BDP(bonds[[#This Row],[worksheet get]],bonds[[#Headers],[coupon]])</f>
        <v>2.875</v>
      </c>
      <c r="J180" s="8" cm="1">
        <f t="array" ref="J180">_xll.BDP(bonds[[#This Row],[worksheet get]],bonds[[#Headers],[nxt_call_dt]])*1</f>
        <v>45669</v>
      </c>
      <c r="K180" s="9" t="str" cm="1">
        <f t="array" ref="K180">_xll.BDP(bonds[[#This Row],[worksheet get]],bonds[[#Headers],[mty_typ]])</f>
        <v>PERP/CALL</v>
      </c>
      <c r="L180" s="9" t="str" cm="1">
        <f t="array" ref="L180">_xll.BDP(bonds[[#This Row],[worksheet get]],bonds[[#Headers],[crncy]])</f>
        <v>EUR</v>
      </c>
      <c r="M180" s="10" cm="1">
        <f t="array" ref="M180">_xll.BDP(bonds[[#This Row],[worksheet get]],bonds[[#Headers],[amt_outstanding]])</f>
        <v>500000000</v>
      </c>
      <c r="N180" s="9" t="str" cm="1">
        <f t="array" ref="N180">_xll.BDP(bonds[[#This Row],[worksheet get]],bonds[[#Headers],[industry_sector]])</f>
        <v>Financial</v>
      </c>
      <c r="O180" s="9" t="str">
        <f>bonds[[#This Row],[security name]]&amp;" nc-"&amp;RIGHT(YEAR(bonds[[#This Row],[nxt_call_dt]]),2)</f>
        <v>ARNDTN 2 7/8 PERP nc-25</v>
      </c>
    </row>
    <row r="181" spans="5:15" x14ac:dyDescent="0.25">
      <c r="E181" s="5" t="s">
        <v>388</v>
      </c>
      <c r="F181" s="5" t="str" cm="1">
        <f t="array" ref="F181">_xll.BDP(bonds[[#This Row],[worksheet get]],bonds[[#Headers],[ID_ISIN]])</f>
        <v>XS1634523754</v>
      </c>
      <c r="G181" s="5" t="str" cm="1">
        <f t="array" ref="G181">_xll.BDP(bonds[[#This Row],[worksheet get]],bonds[[#Headers],[security name]])</f>
        <v>ARNDTN 5 1/4 PERP</v>
      </c>
      <c r="H181" s="5" t="str" cm="1">
        <f t="array" ref="H181">_xll.BDP(bonds[[#This Row],[worksheet get]],bonds[[#Headers],[ticker]])</f>
        <v>ARNDTN</v>
      </c>
      <c r="I181" s="5" cm="1">
        <f t="array" ref="I181">_xll.BDP(bonds[[#This Row],[worksheet get]],bonds[[#Headers],[coupon]])</f>
        <v>5.25</v>
      </c>
      <c r="J181" s="8" cm="1">
        <f t="array" ref="J181">_xll.BDP(bonds[[#This Row],[worksheet get]],bonds[[#Headers],[nxt_call_dt]])*1</f>
        <v>45128</v>
      </c>
      <c r="K181" s="9" t="str" cm="1">
        <f t="array" ref="K181">_xll.BDP(bonds[[#This Row],[worksheet get]],bonds[[#Headers],[mty_typ]])</f>
        <v>PERP/CALL</v>
      </c>
      <c r="L181" s="9" t="str" cm="1">
        <f t="array" ref="L181">_xll.BDP(bonds[[#This Row],[worksheet get]],bonds[[#Headers],[crncy]])</f>
        <v>USD</v>
      </c>
      <c r="M181" s="10" cm="1">
        <f t="array" ref="M181">_xll.BDP(bonds[[#This Row],[worksheet get]],bonds[[#Headers],[amt_outstanding]])</f>
        <v>641500000</v>
      </c>
      <c r="N181" s="9" t="str" cm="1">
        <f t="array" ref="N181">_xll.BDP(bonds[[#This Row],[worksheet get]],bonds[[#Headers],[industry_sector]])</f>
        <v>Financial</v>
      </c>
      <c r="O181" s="9" t="str">
        <f>bonds[[#This Row],[security name]]&amp;" nc-"&amp;RIGHT(YEAR(bonds[[#This Row],[nxt_call_dt]]),2)</f>
        <v>ARNDTN 5 1/4 PERP nc-23</v>
      </c>
    </row>
    <row r="182" spans="5:15" x14ac:dyDescent="0.25">
      <c r="E182" s="5" t="s">
        <v>389</v>
      </c>
      <c r="F182" s="5" t="str" cm="1">
        <f t="array" ref="F182">_xll.BDP(bonds[[#This Row],[worksheet get]],bonds[[#Headers],[ID_ISIN]])</f>
        <v>XS2017788592</v>
      </c>
      <c r="G182" s="5" t="str" cm="1">
        <f t="array" ref="G182">_xll.BDP(bonds[[#This Row],[worksheet get]],bonds[[#Headers],[security name]])</f>
        <v>ARNDTN 4 3/4 PERP</v>
      </c>
      <c r="H182" s="5" t="str" cm="1">
        <f t="array" ref="H182">_xll.BDP(bonds[[#This Row],[worksheet get]],bonds[[#Headers],[ticker]])</f>
        <v>ARNDTN</v>
      </c>
      <c r="I182" s="5" cm="1">
        <f t="array" ref="I182">_xll.BDP(bonds[[#This Row],[worksheet get]],bonds[[#Headers],[coupon]])</f>
        <v>4.75</v>
      </c>
      <c r="J182" s="8" cm="1">
        <f t="array" ref="J182">_xll.BDP(bonds[[#This Row],[worksheet get]],bonds[[#Headers],[nxt_call_dt]])*1</f>
        <v>45468</v>
      </c>
      <c r="K182" s="9" t="str" cm="1">
        <f t="array" ref="K182">_xll.BDP(bonds[[#This Row],[worksheet get]],bonds[[#Headers],[mty_typ]])</f>
        <v>PERP/CALL</v>
      </c>
      <c r="L182" s="9" t="str" cm="1">
        <f t="array" ref="L182">_xll.BDP(bonds[[#This Row],[worksheet get]],bonds[[#Headers],[crncy]])</f>
        <v>GBP</v>
      </c>
      <c r="M182" s="10" cm="1">
        <f t="array" ref="M182">_xll.BDP(bonds[[#This Row],[worksheet get]],bonds[[#Headers],[amt_outstanding]])</f>
        <v>400000000</v>
      </c>
      <c r="N182" s="9" t="str" cm="1">
        <f t="array" ref="N182">_xll.BDP(bonds[[#This Row],[worksheet get]],bonds[[#Headers],[industry_sector]])</f>
        <v>Financial</v>
      </c>
      <c r="O182" s="9" t="str">
        <f>bonds[[#This Row],[security name]]&amp;" nc-"&amp;RIGHT(YEAR(bonds[[#This Row],[nxt_call_dt]]),2)</f>
        <v>ARNDTN 4 3/4 PERP nc-24</v>
      </c>
    </row>
    <row r="183" spans="5:15" x14ac:dyDescent="0.25">
      <c r="E183" s="5" t="s">
        <v>390</v>
      </c>
      <c r="F183" s="5" t="str" cm="1">
        <f t="array" ref="F183">_xll.BDP(bonds[[#This Row],[worksheet get]],bonds[[#Headers],[ID_ISIN]])</f>
        <v>XS1191320297</v>
      </c>
      <c r="G183" s="5" t="str" cm="1">
        <f t="array" ref="G183">_xll.BDP(bonds[[#This Row],[worksheet get]],bonds[[#Headers],[security name]])</f>
        <v>GYCGR 3 3/4 PERP</v>
      </c>
      <c r="H183" s="5" t="str" cm="1">
        <f t="array" ref="H183">_xll.BDP(bonds[[#This Row],[worksheet get]],bonds[[#Headers],[ticker]])</f>
        <v>GYCGR</v>
      </c>
      <c r="I183" s="5" cm="1">
        <f t="array" ref="I183">_xll.BDP(bonds[[#This Row],[worksheet get]],bonds[[#Headers],[coupon]])</f>
        <v>3.75</v>
      </c>
      <c r="J183" s="8" cm="1">
        <f t="array" ref="J183">_xll.BDP(bonds[[#This Row],[worksheet get]],bonds[[#Headers],[nxt_call_dt]])*1</f>
        <v>44610</v>
      </c>
      <c r="K183" s="9" t="str" cm="1">
        <f t="array" ref="K183">_xll.BDP(bonds[[#This Row],[worksheet get]],bonds[[#Headers],[mty_typ]])</f>
        <v>PERP/CALL</v>
      </c>
      <c r="L183" s="9" t="str" cm="1">
        <f t="array" ref="L183">_xll.BDP(bonds[[#This Row],[worksheet get]],bonds[[#Headers],[crncy]])</f>
        <v>EUR</v>
      </c>
      <c r="M183" s="10" cm="1">
        <f t="array" ref="M183">_xll.BDP(bonds[[#This Row],[worksheet get]],bonds[[#Headers],[amt_outstanding]])</f>
        <v>500000000</v>
      </c>
      <c r="N183" s="9" t="str" cm="1">
        <f t="array" ref="N183">_xll.BDP(bonds[[#This Row],[worksheet get]],bonds[[#Headers],[industry_sector]])</f>
        <v>Financial</v>
      </c>
      <c r="O183" s="9" t="str">
        <f>bonds[[#This Row],[security name]]&amp;" nc-"&amp;RIGHT(YEAR(bonds[[#This Row],[nxt_call_dt]]),2)</f>
        <v>GYCGR 3 3/4 PERP nc-22</v>
      </c>
    </row>
    <row r="184" spans="5:15" x14ac:dyDescent="0.25">
      <c r="E184" s="5" t="s">
        <v>391</v>
      </c>
      <c r="F184" s="5" t="str" cm="1">
        <f t="array" ref="F184">_xll.BDP(bonds[[#This Row],[worksheet get]],bonds[[#Headers],[ID_ISIN]])</f>
        <v>XS1491364953</v>
      </c>
      <c r="G184" s="5" t="str" cm="1">
        <f t="array" ref="G184">_xll.BDP(bonds[[#This Row],[worksheet get]],bonds[[#Headers],[security name]])</f>
        <v>GYCGR 2 3/4 PERP</v>
      </c>
      <c r="H184" s="5" t="str" cm="1">
        <f t="array" ref="H184">_xll.BDP(bonds[[#This Row],[worksheet get]],bonds[[#Headers],[ticker]])</f>
        <v>GYCGR</v>
      </c>
      <c r="I184" s="5" cm="1">
        <f t="array" ref="I184">_xll.BDP(bonds[[#This Row],[worksheet get]],bonds[[#Headers],[coupon]])</f>
        <v>2.75</v>
      </c>
      <c r="J184" s="8" cm="1">
        <f t="array" ref="J184">_xll.BDP(bonds[[#This Row],[worksheet get]],bonds[[#Headers],[nxt_call_dt]])*1</f>
        <v>44948</v>
      </c>
      <c r="K184" s="9" t="str" cm="1">
        <f t="array" ref="K184">_xll.BDP(bonds[[#This Row],[worksheet get]],bonds[[#Headers],[mty_typ]])</f>
        <v>PERP/CALL</v>
      </c>
      <c r="L184" s="9" t="str" cm="1">
        <f t="array" ref="L184">_xll.BDP(bonds[[#This Row],[worksheet get]],bonds[[#Headers],[crncy]])</f>
        <v>EUR</v>
      </c>
      <c r="M184" s="10" cm="1">
        <f t="array" ref="M184">_xll.BDP(bonds[[#This Row],[worksheet get]],bonds[[#Headers],[amt_outstanding]])</f>
        <v>200000000</v>
      </c>
      <c r="N184" s="9" t="str" cm="1">
        <f t="array" ref="N184">_xll.BDP(bonds[[#This Row],[worksheet get]],bonds[[#Headers],[industry_sector]])</f>
        <v>Financial</v>
      </c>
      <c r="O184" s="9" t="str">
        <f>bonds[[#This Row],[security name]]&amp;" nc-"&amp;RIGHT(YEAR(bonds[[#This Row],[nxt_call_dt]]),2)</f>
        <v>GYCGR 2 3/4 PERP nc-23</v>
      </c>
    </row>
    <row r="185" spans="5:15" x14ac:dyDescent="0.25">
      <c r="E185" s="5" t="s">
        <v>392</v>
      </c>
      <c r="F185" s="5" t="str" cm="1">
        <f t="array" ref="F185">_xll.BDP(bonds[[#This Row],[worksheet get]],bonds[[#Headers],[ID_ISIN]])</f>
        <v>XS1811181566</v>
      </c>
      <c r="G185" s="5" t="str" cm="1">
        <f t="array" ref="G185">_xll.BDP(bonds[[#This Row],[worksheet get]],bonds[[#Headers],[security name]])</f>
        <v>GYCGR 2 1/2 PERP</v>
      </c>
      <c r="H185" s="5" t="str" cm="1">
        <f t="array" ref="H185">_xll.BDP(bonds[[#This Row],[worksheet get]],bonds[[#Headers],[ticker]])</f>
        <v>GYCGR</v>
      </c>
      <c r="I185" s="5" cm="1">
        <f t="array" ref="I185">_xll.BDP(bonds[[#This Row],[worksheet get]],bonds[[#Headers],[coupon]])</f>
        <v>2.5</v>
      </c>
      <c r="J185" s="8" cm="1">
        <f t="array" ref="J185">_xll.BDP(bonds[[#This Row],[worksheet get]],bonds[[#Headers],[nxt_call_dt]])*1</f>
        <v>45131</v>
      </c>
      <c r="K185" s="9" t="str" cm="1">
        <f t="array" ref="K185">_xll.BDP(bonds[[#This Row],[worksheet get]],bonds[[#Headers],[mty_typ]])</f>
        <v>PERP/CALL</v>
      </c>
      <c r="L185" s="9" t="str" cm="1">
        <f t="array" ref="L185">_xll.BDP(bonds[[#This Row],[worksheet get]],bonds[[#Headers],[crncy]])</f>
        <v>EUR</v>
      </c>
      <c r="M185" s="10" cm="1">
        <f t="array" ref="M185">_xll.BDP(bonds[[#This Row],[worksheet get]],bonds[[#Headers],[amt_outstanding]])</f>
        <v>350000000</v>
      </c>
      <c r="N185" s="9" t="str" cm="1">
        <f t="array" ref="N185">_xll.BDP(bonds[[#This Row],[worksheet get]],bonds[[#Headers],[industry_sector]])</f>
        <v>Financial</v>
      </c>
      <c r="O185" s="9" t="str">
        <f>bonds[[#This Row],[security name]]&amp;" nc-"&amp;RIGHT(YEAR(bonds[[#This Row],[nxt_call_dt]]),2)</f>
        <v>GYCGR 2 1/2 PERP nc-23</v>
      </c>
    </row>
    <row r="186" spans="5:15" x14ac:dyDescent="0.25">
      <c r="E186" s="5" t="s">
        <v>98</v>
      </c>
      <c r="F186" s="5" t="str" cm="1">
        <f t="array" ref="F186">_xll.BDP(bonds[[#This Row],[worksheet get]],bonds[[#Headers],[ID_ISIN]])</f>
        <v>XS1819537132</v>
      </c>
      <c r="G186" s="5" t="str" cm="1">
        <f t="array" ref="G186">_xll.BDP(bonds[[#This Row],[worksheet get]],bonds[[#Headers],[security name]])</f>
        <v>CPIPGR 4 3/8 PERP</v>
      </c>
      <c r="H186" s="5" t="str" cm="1">
        <f t="array" ref="H186">_xll.BDP(bonds[[#This Row],[worksheet get]],bonds[[#Headers],[ticker]])</f>
        <v>CPIPGR</v>
      </c>
      <c r="I186" s="5" cm="1">
        <f t="array" ref="I186">_xll.BDP(bonds[[#This Row],[worksheet get]],bonds[[#Headers],[coupon]])</f>
        <v>4.375</v>
      </c>
      <c r="J186" s="8" cm="1">
        <f t="array" ref="J186">_xll.BDP(bonds[[#This Row],[worksheet get]],bonds[[#Headers],[nxt_call_dt]])*1</f>
        <v>45147</v>
      </c>
      <c r="K186" s="9" t="str" cm="1">
        <f t="array" ref="K186">_xll.BDP(bonds[[#This Row],[worksheet get]],bonds[[#Headers],[mty_typ]])</f>
        <v>PERP/CALL</v>
      </c>
      <c r="L186" s="9" t="str" cm="1">
        <f t="array" ref="L186">_xll.BDP(bonds[[#This Row],[worksheet get]],bonds[[#Headers],[crncy]])</f>
        <v>EUR</v>
      </c>
      <c r="M186" s="10" cm="1">
        <f t="array" ref="M186">_xll.BDP(bonds[[#This Row],[worksheet get]],bonds[[#Headers],[amt_outstanding]])</f>
        <v>550000000</v>
      </c>
      <c r="N186" s="9" t="str" cm="1">
        <f t="array" ref="N186">_xll.BDP(bonds[[#This Row],[worksheet get]],bonds[[#Headers],[industry_sector]])</f>
        <v>Financial</v>
      </c>
      <c r="O186" s="9" t="str">
        <f>bonds[[#This Row],[security name]]&amp;" nc-"&amp;RIGHT(YEAR(bonds[[#This Row],[nxt_call_dt]]),2)</f>
        <v>CPIPGR 4 3/8 PERP nc-23</v>
      </c>
    </row>
    <row r="187" spans="5:15" x14ac:dyDescent="0.25">
      <c r="E187" s="5" t="s">
        <v>99</v>
      </c>
      <c r="F187" s="5" t="str" cm="1">
        <f t="array" ref="F187">_xll.BDP(bonds[[#This Row],[worksheet get]],bonds[[#Headers],[ID_ISIN]])</f>
        <v>XS1982704824</v>
      </c>
      <c r="G187" s="5" t="str" cm="1">
        <f t="array" ref="G187">_xll.BDP(bonds[[#This Row],[worksheet get]],bonds[[#Headers],[security name]])</f>
        <v>CPIPGR 4 7/8 PERP</v>
      </c>
      <c r="H187" s="5" t="str" cm="1">
        <f t="array" ref="H187">_xll.BDP(bonds[[#This Row],[worksheet get]],bonds[[#Headers],[ticker]])</f>
        <v>CPIPGR</v>
      </c>
      <c r="I187" s="5" cm="1">
        <f t="array" ref="I187">_xll.BDP(bonds[[#This Row],[worksheet get]],bonds[[#Headers],[coupon]])</f>
        <v>4.875</v>
      </c>
      <c r="J187" s="8" cm="1">
        <f t="array" ref="J187">_xll.BDP(bonds[[#This Row],[worksheet get]],bonds[[#Headers],[nxt_call_dt]])*1</f>
        <v>45854</v>
      </c>
      <c r="K187" s="9" t="str" cm="1">
        <f t="array" ref="K187">_xll.BDP(bonds[[#This Row],[worksheet get]],bonds[[#Headers],[mty_typ]])</f>
        <v>PERP/CALL</v>
      </c>
      <c r="L187" s="9" t="str" cm="1">
        <f t="array" ref="L187">_xll.BDP(bonds[[#This Row],[worksheet get]],bonds[[#Headers],[crncy]])</f>
        <v>EUR</v>
      </c>
      <c r="M187" s="10" cm="1">
        <f t="array" ref="M187">_xll.BDP(bonds[[#This Row],[worksheet get]],bonds[[#Headers],[amt_outstanding]])</f>
        <v>550000000</v>
      </c>
      <c r="N187" s="9" t="str" cm="1">
        <f t="array" ref="N187">_xll.BDP(bonds[[#This Row],[worksheet get]],bonds[[#Headers],[industry_sector]])</f>
        <v>Financial</v>
      </c>
      <c r="O187" s="9" t="str">
        <f>bonds[[#This Row],[security name]]&amp;" nc-"&amp;RIGHT(YEAR(bonds[[#This Row],[nxt_call_dt]]),2)</f>
        <v>CPIPGR 4 7/8 PERP nc-25</v>
      </c>
    </row>
    <row r="188" spans="5:15" x14ac:dyDescent="0.25">
      <c r="E188" s="5" t="s">
        <v>393</v>
      </c>
      <c r="F188" s="5" t="str" cm="1">
        <f t="array" ref="F188">_xll.BDP(bonds[[#This Row],[worksheet get]],bonds[[#Headers],[ID_ISIN]])</f>
        <v>XS1934875219</v>
      </c>
      <c r="G188" s="5" t="str" cm="1">
        <f t="array" ref="G188">_xll.BDP(bonds[[#This Row],[worksheet get]],bonds[[#Headers],[security name]])</f>
        <v>JUSTLN 9 3/8 PERP</v>
      </c>
      <c r="H188" s="5" t="str" cm="1">
        <f t="array" ref="H188">_xll.BDP(bonds[[#This Row],[worksheet get]],bonds[[#Headers],[ticker]])</f>
        <v>JUSTLN</v>
      </c>
      <c r="I188" s="5" cm="1">
        <f t="array" ref="I188">_xll.BDP(bonds[[#This Row],[worksheet get]],bonds[[#Headers],[coupon]])</f>
        <v>9.375</v>
      </c>
      <c r="J188" s="8" cm="1">
        <f t="array" ref="J188">_xll.BDP(bonds[[#This Row],[worksheet get]],bonds[[#Headers],[nxt_call_dt]])*1</f>
        <v>45408</v>
      </c>
      <c r="K188" s="9" t="str" cm="1">
        <f t="array" ref="K188">_xll.BDP(bonds[[#This Row],[worksheet get]],bonds[[#Headers],[mty_typ]])</f>
        <v>PERP/CALL</v>
      </c>
      <c r="L188" s="9" t="str" cm="1">
        <f t="array" ref="L188">_xll.BDP(bonds[[#This Row],[worksheet get]],bonds[[#Headers],[crncy]])</f>
        <v>GBP</v>
      </c>
      <c r="M188" s="10" cm="1">
        <f t="array" ref="M188">_xll.BDP(bonds[[#This Row],[worksheet get]],bonds[[#Headers],[amt_outstanding]])</f>
        <v>300000000</v>
      </c>
      <c r="N188" s="9" t="str" cm="1">
        <f t="array" ref="N188">_xll.BDP(bonds[[#This Row],[worksheet get]],bonds[[#Headers],[industry_sector]])</f>
        <v>Financial</v>
      </c>
      <c r="O188" s="9" t="str">
        <f>bonds[[#This Row],[security name]]&amp;" nc-"&amp;RIGHT(YEAR(bonds[[#This Row],[nxt_call_dt]]),2)</f>
        <v>JUSTLN 9 3/8 PERP nc-24</v>
      </c>
    </row>
    <row r="189" spans="5:15" x14ac:dyDescent="0.25">
      <c r="E189" s="5" t="s">
        <v>394</v>
      </c>
      <c r="F189" s="5" t="str" cm="1">
        <f t="array" ref="F189">_xll.BDP(bonds[[#This Row],[worksheet get]],bonds[[#Headers],[ID_ISIN]])</f>
        <v>XS0222524372</v>
      </c>
      <c r="G189" s="5" t="str" cm="1">
        <f t="array" ref="G189">_xll.BDP(bonds[[#This Row],[worksheet get]],bonds[[#Headers],[security name]])</f>
        <v>SZUGR Float PERP</v>
      </c>
      <c r="H189" s="5" t="str" cm="1">
        <f t="array" ref="H189">_xll.BDP(bonds[[#This Row],[worksheet get]],bonds[[#Headers],[ticker]])</f>
        <v>SZUGR</v>
      </c>
      <c r="I189" s="5" cm="1">
        <f t="array" ref="I189">_xll.BDP(bonds[[#This Row],[worksheet get]],bonds[[#Headers],[coupon]])</f>
        <v>2.6970000000000001</v>
      </c>
      <c r="J189" s="8" cm="1">
        <f t="array" ref="J189">_xll.BDP(bonds[[#This Row],[worksheet get]],bonds[[#Headers],[nxt_call_dt]])*1</f>
        <v>44104</v>
      </c>
      <c r="K189" s="9" t="str" cm="1">
        <f t="array" ref="K189">_xll.BDP(bonds[[#This Row],[worksheet get]],bonds[[#Headers],[mty_typ]])</f>
        <v>PERP/CALL</v>
      </c>
      <c r="L189" s="9" t="str" cm="1">
        <f t="array" ref="L189">_xll.BDP(bonds[[#This Row],[worksheet get]],bonds[[#Headers],[crncy]])</f>
        <v>EUR</v>
      </c>
      <c r="M189" s="10" cm="1">
        <f t="array" ref="M189">_xll.BDP(bonds[[#This Row],[worksheet get]],bonds[[#Headers],[amt_outstanding]])</f>
        <v>700000000</v>
      </c>
      <c r="N189" s="9" t="str" cm="1">
        <f t="array" ref="N189">_xll.BDP(bonds[[#This Row],[worksheet get]],bonds[[#Headers],[industry_sector]])</f>
        <v>Consumer, Non-cyclical</v>
      </c>
      <c r="O189" s="9" t="str">
        <f>bonds[[#This Row],[security name]]&amp;" nc-"&amp;RIGHT(YEAR(bonds[[#This Row],[nxt_call_dt]]),2)</f>
        <v>SZUGR Float PERP nc-20</v>
      </c>
    </row>
    <row r="190" spans="5:15" x14ac:dyDescent="0.25">
      <c r="E190" s="5" t="s">
        <v>395</v>
      </c>
      <c r="F190" s="5" t="str" cm="1">
        <f t="array" ref="F190">_xll.BDP(bonds[[#This Row],[worksheet get]],bonds[[#Headers],[ID_ISIN]])</f>
        <v>FR0011606169</v>
      </c>
      <c r="G190" s="5" t="str" cm="1">
        <f t="array" ref="G190">_xll.BDP(bonds[[#This Row],[worksheet get]],bonds[[#Headers],[security name]])</f>
        <v>COFP 3.992 PERP</v>
      </c>
      <c r="H190" s="5" t="str" cm="1">
        <f t="array" ref="H190">_xll.BDP(bonds[[#This Row],[worksheet get]],bonds[[#Headers],[ticker]])</f>
        <v>COFP</v>
      </c>
      <c r="I190" s="5" cm="1">
        <f t="array" ref="I190">_xll.BDP(bonds[[#This Row],[worksheet get]],bonds[[#Headers],[coupon]])</f>
        <v>3.992</v>
      </c>
      <c r="J190" s="8" cm="1">
        <f t="array" ref="J190">_xll.BDP(bonds[[#This Row],[worksheet get]],bonds[[#Headers],[nxt_call_dt]])*1</f>
        <v>45322</v>
      </c>
      <c r="K190" s="9" t="str" cm="1">
        <f t="array" ref="K190">_xll.BDP(bonds[[#This Row],[worksheet get]],bonds[[#Headers],[mty_typ]])</f>
        <v>PERP/CALL</v>
      </c>
      <c r="L190" s="9" t="str" cm="1">
        <f t="array" ref="L190">_xll.BDP(bonds[[#This Row],[worksheet get]],bonds[[#Headers],[crncy]])</f>
        <v>EUR</v>
      </c>
      <c r="M190" s="10" cm="1">
        <f t="array" ref="M190">_xll.BDP(bonds[[#This Row],[worksheet get]],bonds[[#Headers],[amt_outstanding]])</f>
        <v>750000000</v>
      </c>
      <c r="N190" s="9" t="str" cm="1">
        <f t="array" ref="N190">_xll.BDP(bonds[[#This Row],[worksheet get]],bonds[[#Headers],[industry_sector]])</f>
        <v>Consumer, Non-cyclical</v>
      </c>
      <c r="O190" s="9" t="str">
        <f>bonds[[#This Row],[security name]]&amp;" nc-"&amp;RIGHT(YEAR(bonds[[#This Row],[nxt_call_dt]]),2)</f>
        <v>COFP 3.992 PERP nc-24</v>
      </c>
    </row>
    <row r="191" spans="5:15" x14ac:dyDescent="0.25">
      <c r="E191" s="5" t="s">
        <v>396</v>
      </c>
      <c r="F191" s="5" t="str" cm="1">
        <f t="array" ref="F191">_xll.BDP(bonds[[#This Row],[worksheet get]],bonds[[#Headers],[ID_ISIN]])</f>
        <v>XS1268050397</v>
      </c>
      <c r="G191" s="5" t="str" cm="1">
        <f t="array" ref="G191">_xll.BDP(bonds[[#This Row],[worksheet get]],bonds[[#Headers],[security name]])</f>
        <v>SBRYLN 6 1/2 PERP</v>
      </c>
      <c r="H191" s="5" t="str" cm="1">
        <f t="array" ref="H191">_xll.BDP(bonds[[#This Row],[worksheet get]],bonds[[#Headers],[ticker]])</f>
        <v>SBRYLN</v>
      </c>
      <c r="I191" s="5" cm="1">
        <f t="array" ref="I191">_xll.BDP(bonds[[#This Row],[worksheet get]],bonds[[#Headers],[coupon]])</f>
        <v>6.5</v>
      </c>
      <c r="J191" s="8" cm="1">
        <f t="array" ref="J191">_xll.BDP(bonds[[#This Row],[worksheet get]],bonds[[#Headers],[nxt_call_dt]])*1</f>
        <v>44042</v>
      </c>
      <c r="K191" s="9" t="str" cm="1">
        <f t="array" ref="K191">_xll.BDP(bonds[[#This Row],[worksheet get]],bonds[[#Headers],[mty_typ]])</f>
        <v>PERP/CALL</v>
      </c>
      <c r="L191" s="9" t="str" cm="1">
        <f t="array" ref="L191">_xll.BDP(bonds[[#This Row],[worksheet get]],bonds[[#Headers],[crncy]])</f>
        <v>GBP</v>
      </c>
      <c r="M191" s="10" cm="1">
        <f t="array" ref="M191">_xll.BDP(bonds[[#This Row],[worksheet get]],bonds[[#Headers],[amt_outstanding]])</f>
        <v>250000000</v>
      </c>
      <c r="N191" s="9" t="str" cm="1">
        <f t="array" ref="N191">_xll.BDP(bonds[[#This Row],[worksheet get]],bonds[[#Headers],[industry_sector]])</f>
        <v>Consumer, Non-cyclical</v>
      </c>
      <c r="O191" s="9" t="str">
        <f>bonds[[#This Row],[security name]]&amp;" nc-"&amp;RIGHT(YEAR(bonds[[#This Row],[nxt_call_dt]]),2)</f>
        <v>SBRYLN 6 1/2 PERP nc-20</v>
      </c>
    </row>
    <row r="192" spans="5:15" x14ac:dyDescent="0.25">
      <c r="E192" s="5" t="s">
        <v>397</v>
      </c>
      <c r="F192" s="5" t="str" cm="1">
        <f t="array" ref="F192">_xll.BDP(bonds[[#This Row],[worksheet get]],bonds[[#Headers],[ID_ISIN]])</f>
        <v>DE000A1ZN206</v>
      </c>
      <c r="G192" s="5" t="str" cm="1">
        <f t="array" ref="G192">_xll.BDP(bonds[[#This Row],[worksheet get]],bonds[[#Headers],[security name]])</f>
        <v>WIEAV 5 PERP</v>
      </c>
      <c r="H192" s="5" t="str" cm="1">
        <f t="array" ref="H192">_xll.BDP(bonds[[#This Row],[worksheet get]],bonds[[#Headers],[ticker]])</f>
        <v>WIEAV</v>
      </c>
      <c r="I192" s="5" cm="1">
        <f t="array" ref="I192">_xll.BDP(bonds[[#This Row],[worksheet get]],bonds[[#Headers],[coupon]])</f>
        <v>5</v>
      </c>
      <c r="J192" s="8" cm="1">
        <f t="array" ref="J192">_xll.BDP(bonds[[#This Row],[worksheet get]],bonds[[#Headers],[nxt_call_dt]])*1</f>
        <v>44236</v>
      </c>
      <c r="K192" s="9" t="str" cm="1">
        <f t="array" ref="K192">_xll.BDP(bonds[[#This Row],[worksheet get]],bonds[[#Headers],[mty_typ]])</f>
        <v>PERP/CALL</v>
      </c>
      <c r="L192" s="9" t="str" cm="1">
        <f t="array" ref="L192">_xll.BDP(bonds[[#This Row],[worksheet get]],bonds[[#Headers],[crncy]])</f>
        <v>EUR</v>
      </c>
      <c r="M192" s="10" cm="1">
        <f t="array" ref="M192">_xll.BDP(bonds[[#This Row],[worksheet get]],bonds[[#Headers],[amt_outstanding]])</f>
        <v>222230000</v>
      </c>
      <c r="N192" s="9" t="str" cm="1">
        <f t="array" ref="N192">_xll.BDP(bonds[[#This Row],[worksheet get]],bonds[[#Headers],[industry_sector]])</f>
        <v>Industrial</v>
      </c>
      <c r="O192" s="9" t="str">
        <f>bonds[[#This Row],[security name]]&amp;" nc-"&amp;RIGHT(YEAR(bonds[[#This Row],[nxt_call_dt]]),2)</f>
        <v>WIEAV 5 PERP nc-21</v>
      </c>
    </row>
    <row r="193" spans="5:15" x14ac:dyDescent="0.25">
      <c r="E193" s="5" t="s">
        <v>398</v>
      </c>
      <c r="F193" s="5" t="str" cm="1">
        <f t="array" ref="F193">_xll.BDP(bonds[[#This Row],[worksheet get]],bonds[[#Headers],[ID_ISIN]])</f>
        <v>XS1582433428</v>
      </c>
      <c r="G193" s="5" t="str" cm="1">
        <f t="array" ref="G193">_xll.BDP(bonds[[#This Row],[worksheet get]],bonds[[#Headers],[security name]])</f>
        <v>TRAFIG 6 7/8 PERP</v>
      </c>
      <c r="H193" s="5" t="str" cm="1">
        <f t="array" ref="H193">_xll.BDP(bonds[[#This Row],[worksheet get]],bonds[[#Headers],[ticker]])</f>
        <v>TRAFIG</v>
      </c>
      <c r="I193" s="5" cm="1">
        <f t="array" ref="I193">_xll.BDP(bonds[[#This Row],[worksheet get]],bonds[[#Headers],[coupon]])</f>
        <v>6.875</v>
      </c>
      <c r="J193" s="8" cm="1">
        <f t="array" ref="J193">_xll.BDP(bonds[[#This Row],[worksheet get]],bonds[[#Headers],[nxt_call_dt]])*1</f>
        <v>44552</v>
      </c>
      <c r="K193" s="9" t="str" cm="1">
        <f t="array" ref="K193">_xll.BDP(bonds[[#This Row],[worksheet get]],bonds[[#Headers],[mty_typ]])</f>
        <v>PERP/CALL</v>
      </c>
      <c r="L193" s="9" t="str" cm="1">
        <f t="array" ref="L193">_xll.BDP(bonds[[#This Row],[worksheet get]],bonds[[#Headers],[crncy]])</f>
        <v>USD</v>
      </c>
      <c r="M193" s="10" cm="1">
        <f t="array" ref="M193">_xll.BDP(bonds[[#This Row],[worksheet get]],bonds[[#Headers],[amt_outstanding]])</f>
        <v>800000000</v>
      </c>
      <c r="N193" s="9" t="str" cm="1">
        <f t="array" ref="N193">_xll.BDP(bonds[[#This Row],[worksheet get]],bonds[[#Headers],[industry_sector]])</f>
        <v>Energy</v>
      </c>
      <c r="O193" s="9" t="str">
        <f>bonds[[#This Row],[security name]]&amp;" nc-"&amp;RIGHT(YEAR(bonds[[#This Row],[nxt_call_dt]]),2)</f>
        <v>TRAFIG 6 7/8 PERP nc-21</v>
      </c>
    </row>
    <row r="194" spans="5:15" x14ac:dyDescent="0.25">
      <c r="E194" s="5" t="s">
        <v>399</v>
      </c>
      <c r="F194" s="5" t="str" cm="1">
        <f t="array" ref="F194">_xll.BDP(bonds[[#This Row],[worksheet get]],bonds[[#Headers],[ID_ISIN]])</f>
        <v>XS2033327854</v>
      </c>
      <c r="G194" s="5" t="str" cm="1">
        <f t="array" ref="G194">_xll.BDP(bonds[[#This Row],[worksheet get]],bonds[[#Headers],[security name]])</f>
        <v>TRAFIG 7 1/2 PERP</v>
      </c>
      <c r="H194" s="5" t="str" cm="1">
        <f t="array" ref="H194">_xll.BDP(bonds[[#This Row],[worksheet get]],bonds[[#Headers],[ticker]])</f>
        <v>TRAFIG</v>
      </c>
      <c r="I194" s="5" cm="1">
        <f t="array" ref="I194">_xll.BDP(bonds[[#This Row],[worksheet get]],bonds[[#Headers],[coupon]])</f>
        <v>7.5</v>
      </c>
      <c r="J194" s="8" cm="1">
        <f t="array" ref="J194">_xll.BDP(bonds[[#This Row],[worksheet get]],bonds[[#Headers],[nxt_call_dt]])*1</f>
        <v>45504</v>
      </c>
      <c r="K194" s="9" t="str" cm="1">
        <f t="array" ref="K194">_xll.BDP(bonds[[#This Row],[worksheet get]],bonds[[#Headers],[mty_typ]])</f>
        <v>PERP/CALL</v>
      </c>
      <c r="L194" s="9" t="str" cm="1">
        <f t="array" ref="L194">_xll.BDP(bonds[[#This Row],[worksheet get]],bonds[[#Headers],[crncy]])</f>
        <v>EUR</v>
      </c>
      <c r="M194" s="10" cm="1">
        <f t="array" ref="M194">_xll.BDP(bonds[[#This Row],[worksheet get]],bonds[[#Headers],[amt_outstanding]])</f>
        <v>232936000</v>
      </c>
      <c r="N194" s="9" t="str" cm="1">
        <f t="array" ref="N194">_xll.BDP(bonds[[#This Row],[worksheet get]],bonds[[#Headers],[industry_sector]])</f>
        <v>Energy</v>
      </c>
      <c r="O194" s="9" t="str">
        <f>bonds[[#This Row],[security name]]&amp;" nc-"&amp;RIGHT(YEAR(bonds[[#This Row],[nxt_call_dt]]),2)</f>
        <v>TRAFIG 7 1/2 PERP nc-24</v>
      </c>
    </row>
    <row r="195" spans="5:15" x14ac:dyDescent="0.25">
      <c r="E195" s="5" t="s">
        <v>400</v>
      </c>
      <c r="F195" s="9" t="str" cm="1">
        <f t="array" ref="F195">_xll.BDP(bonds[[#This Row],[worksheet get]],bonds[[#Headers],[ID_ISIN]])</f>
        <v>XS1642682410</v>
      </c>
      <c r="G195" s="9" t="str" cm="1">
        <f t="array" ref="G195">_xll.BDP(bonds[[#This Row],[worksheet get]],bonds[[#Headers],[security name]])</f>
        <v>SOFTBK 6 PERP</v>
      </c>
      <c r="H195" s="9" t="str" cm="1">
        <f t="array" ref="H195">_xll.BDP(bonds[[#This Row],[worksheet get]],bonds[[#Headers],[ticker]])</f>
        <v>SOFTBK</v>
      </c>
      <c r="I195" s="9" cm="1">
        <f t="array" ref="I195">_xll.BDP(bonds[[#This Row],[worksheet get]],bonds[[#Headers],[coupon]])</f>
        <v>6</v>
      </c>
      <c r="J195" s="8" cm="1">
        <f t="array" ref="J195">_xll.BDP(bonds[[#This Row],[worksheet get]],bonds[[#Headers],[nxt_call_dt]])*1</f>
        <v>45126</v>
      </c>
      <c r="K195" s="9" t="str" cm="1">
        <f t="array" ref="K195">_xll.BDP(bonds[[#This Row],[worksheet get]],bonds[[#Headers],[mty_typ]])</f>
        <v>PERP/CALL</v>
      </c>
      <c r="L195" s="9" t="str" cm="1">
        <f t="array" ref="L195">_xll.BDP(bonds[[#This Row],[worksheet get]],bonds[[#Headers],[crncy]])</f>
        <v>USD</v>
      </c>
      <c r="M195" s="10" cm="1">
        <f t="array" ref="M195">_xll.BDP(bonds[[#This Row],[worksheet get]],bonds[[#Headers],[amt_outstanding]])</f>
        <v>2750000000</v>
      </c>
      <c r="N195" s="9" t="str" cm="1">
        <f t="array" ref="N195">_xll.BDP(bonds[[#This Row],[worksheet get]],bonds[[#Headers],[industry_sector]])</f>
        <v>Communications</v>
      </c>
      <c r="O195" s="9" t="str">
        <f>bonds[[#This Row],[security name]]&amp;" nc-"&amp;RIGHT(YEAR(bonds[[#This Row],[nxt_call_dt]]),2)</f>
        <v>SOFTBK 6 PERP nc-23</v>
      </c>
    </row>
    <row r="196" spans="5:15" x14ac:dyDescent="0.25">
      <c r="E196" s="5" t="s">
        <v>401</v>
      </c>
      <c r="F196" s="9" t="str" cm="1">
        <f t="array" ref="F196">_xll.BDP(bonds[[#This Row],[worksheet get]],bonds[[#Headers],[ID_ISIN]])</f>
        <v>XS1642686676</v>
      </c>
      <c r="G196" s="9" t="str" cm="1">
        <f t="array" ref="G196">_xll.BDP(bonds[[#This Row],[worksheet get]],bonds[[#Headers],[security name]])</f>
        <v>SOFTBK 6 7/8 PERP</v>
      </c>
      <c r="H196" s="9" t="str" cm="1">
        <f t="array" ref="H196">_xll.BDP(bonds[[#This Row],[worksheet get]],bonds[[#Headers],[ticker]])</f>
        <v>SOFTBK</v>
      </c>
      <c r="I196" s="9" cm="1">
        <f t="array" ref="I196">_xll.BDP(bonds[[#This Row],[worksheet get]],bonds[[#Headers],[coupon]])</f>
        <v>6.875</v>
      </c>
      <c r="J196" s="8" cm="1">
        <f t="array" ref="J196">_xll.BDP(bonds[[#This Row],[worksheet get]],bonds[[#Headers],[nxt_call_dt]])*1</f>
        <v>46587</v>
      </c>
      <c r="K196" s="9" t="str" cm="1">
        <f t="array" ref="K196">_xll.BDP(bonds[[#This Row],[worksheet get]],bonds[[#Headers],[mty_typ]])</f>
        <v>PERP/CALL</v>
      </c>
      <c r="L196" s="9" t="str" cm="1">
        <f t="array" ref="L196">_xll.BDP(bonds[[#This Row],[worksheet get]],bonds[[#Headers],[crncy]])</f>
        <v>USD</v>
      </c>
      <c r="M196" s="10" cm="1">
        <f t="array" ref="M196">_xll.BDP(bonds[[#This Row],[worksheet get]],bonds[[#Headers],[amt_outstanding]])</f>
        <v>1750000000</v>
      </c>
      <c r="N196" s="9" t="str" cm="1">
        <f t="array" ref="N196">_xll.BDP(bonds[[#This Row],[worksheet get]],bonds[[#Headers],[industry_sector]])</f>
        <v>Communications</v>
      </c>
      <c r="O196" s="9" t="str">
        <f>bonds[[#This Row],[security name]]&amp;" nc-"&amp;RIGHT(YEAR(bonds[[#This Row],[nxt_call_dt]]),2)</f>
        <v>SOFTBK 6 7/8 PERP nc-27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F6758-6757-4982-87BF-22ADDE3045EE}">
  <dimension ref="B2:J74"/>
  <sheetViews>
    <sheetView workbookViewId="0">
      <selection activeCell="L4" sqref="L4"/>
    </sheetView>
  </sheetViews>
  <sheetFormatPr defaultColWidth="8.7265625" defaultRowHeight="10.5" x14ac:dyDescent="0.25"/>
  <cols>
    <col min="1" max="1" width="8.7265625" style="5"/>
    <col min="2" max="2" width="10.1796875" style="5" customWidth="1"/>
    <col min="3" max="16384" width="8.7265625" style="5"/>
  </cols>
  <sheetData>
    <row r="2" spans="2:10" x14ac:dyDescent="0.25">
      <c r="B2" s="5" t="s">
        <v>402</v>
      </c>
    </row>
    <row r="4" spans="2:10" ht="11" x14ac:dyDescent="0.3">
      <c r="B4" s="4" t="s">
        <v>403</v>
      </c>
      <c r="C4" s="4" t="s">
        <v>404</v>
      </c>
      <c r="D4" s="4" t="s">
        <v>17</v>
      </c>
      <c r="F4" s="4" t="s">
        <v>405</v>
      </c>
      <c r="G4" s="4" t="s">
        <v>406</v>
      </c>
      <c r="I4" s="4" t="s">
        <v>405</v>
      </c>
      <c r="J4" s="4" t="s">
        <v>406</v>
      </c>
    </row>
    <row r="5" spans="2:10" x14ac:dyDescent="0.25">
      <c r="B5" s="5" t="str" cm="1">
        <f t="array" ref="B5:B74">_xlfn.UNIQUE(bonds[ticker])</f>
        <v>SOLBBB</v>
      </c>
      <c r="C5" s="5" cm="1">
        <f t="array" ref="C5:C74">COUNTIFS(bonds[ticker],_xlfn.ANCHORARRAY(B5),bonds[crncy],"eur")</f>
        <v>4</v>
      </c>
      <c r="D5" s="5" t="str" cm="1">
        <f t="array" ref="D5:D74">IF(_xlfn.ANCHORARRAY(C5)&gt;=3,_xlfn.ANCHORARRAY(B5),"-")</f>
        <v>SOLBBB</v>
      </c>
      <c r="F5" s="5" t="str" cm="1">
        <f t="array" ref="F5:F26">_xlfn._xlws.FILTER(_xlfn.ANCHORARRAY(D5),_xlfn.ANCHORARRAY(D5)&lt;&gt;"-")</f>
        <v>SOLBBB</v>
      </c>
      <c r="G5" s="5" cm="1">
        <f t="array" ref="G5:G26">COUNTIFS(bonds[ticker],_xlfn.ANCHORARRAY(F5),bonds[crncy],"eur")</f>
        <v>4</v>
      </c>
      <c r="I5" s="5" t="str" cm="1">
        <f t="array" ref="I5:I26">_xlfn.SORTBY(_xlfn.ANCHORARRAY(F5),_xlfn.ANCHORARRAY(G5),-1)</f>
        <v>VW</v>
      </c>
      <c r="J5" s="5" cm="1">
        <f t="array" ref="J5:J26">COUNTIFS(bonds[ticker],_xlfn.ANCHORARRAY(I5),bonds[crncy],"eur")</f>
        <v>11</v>
      </c>
    </row>
    <row r="6" spans="2:10" x14ac:dyDescent="0.25">
      <c r="B6" s="5" t="str">
        <v>BAYNGR</v>
      </c>
      <c r="C6" s="5">
        <v>4</v>
      </c>
      <c r="D6" s="5" t="str">
        <v>BAYNGR</v>
      </c>
      <c r="F6" s="5" t="str">
        <v>BAYNGR</v>
      </c>
      <c r="G6" s="5">
        <v>4</v>
      </c>
      <c r="I6" s="5" t="str">
        <v>TELEFO</v>
      </c>
      <c r="J6" s="5">
        <v>8</v>
      </c>
    </row>
    <row r="7" spans="2:10" x14ac:dyDescent="0.25">
      <c r="B7" s="5" t="str">
        <v>FIRMEN</v>
      </c>
      <c r="C7" s="5">
        <v>1</v>
      </c>
      <c r="D7" s="5" t="str">
        <v>-</v>
      </c>
      <c r="F7" s="5" t="str">
        <v>MRKGR</v>
      </c>
      <c r="G7" s="5">
        <v>4</v>
      </c>
      <c r="I7" s="5" t="str">
        <v>TOTAL</v>
      </c>
      <c r="J7" s="5">
        <v>6</v>
      </c>
    </row>
    <row r="8" spans="2:10" x14ac:dyDescent="0.25">
      <c r="B8" s="5" t="str">
        <v>MRKGR</v>
      </c>
      <c r="C8" s="5">
        <v>4</v>
      </c>
      <c r="D8" s="5" t="str">
        <v>MRKGR</v>
      </c>
      <c r="F8" s="5" t="str">
        <v>AKEFP</v>
      </c>
      <c r="G8" s="5">
        <v>3</v>
      </c>
      <c r="I8" s="5" t="str">
        <v>ENBW</v>
      </c>
      <c r="J8" s="5">
        <v>6</v>
      </c>
    </row>
    <row r="9" spans="2:10" x14ac:dyDescent="0.25">
      <c r="B9" s="5" t="str">
        <v>AKEFP</v>
      </c>
      <c r="C9" s="5">
        <v>3</v>
      </c>
      <c r="D9" s="5" t="str">
        <v>AKEFP</v>
      </c>
      <c r="F9" s="5" t="str">
        <v>ERFFP</v>
      </c>
      <c r="G9" s="5">
        <v>3</v>
      </c>
      <c r="I9" s="5" t="str">
        <v>ORAFP</v>
      </c>
      <c r="J9" s="5">
        <v>5</v>
      </c>
    </row>
    <row r="10" spans="2:10" x14ac:dyDescent="0.25">
      <c r="B10" s="5" t="str">
        <v>LXSGR</v>
      </c>
      <c r="C10" s="5">
        <v>1</v>
      </c>
      <c r="D10" s="5" t="str">
        <v>-</v>
      </c>
      <c r="F10" s="5" t="str">
        <v>OMVAV</v>
      </c>
      <c r="G10" s="5">
        <v>3</v>
      </c>
      <c r="I10" s="5" t="str">
        <v>ENGIFP</v>
      </c>
      <c r="J10" s="5">
        <v>5</v>
      </c>
    </row>
    <row r="11" spans="2:10" x14ac:dyDescent="0.25">
      <c r="B11" s="5" t="str">
        <v>LHNVX</v>
      </c>
      <c r="C11" s="5">
        <v>1</v>
      </c>
      <c r="D11" s="5" t="str">
        <v>-</v>
      </c>
      <c r="F11" s="5" t="str">
        <v>REPSM</v>
      </c>
      <c r="G11" s="5">
        <v>4</v>
      </c>
      <c r="I11" s="5" t="str">
        <v>EDF</v>
      </c>
      <c r="J11" s="5">
        <v>5</v>
      </c>
    </row>
    <row r="12" spans="2:10" x14ac:dyDescent="0.25">
      <c r="B12" s="5" t="str">
        <v>EVKGR</v>
      </c>
      <c r="C12" s="5">
        <v>1</v>
      </c>
      <c r="D12" s="5" t="str">
        <v>-</v>
      </c>
      <c r="F12" s="5" t="str">
        <v>TOTAL</v>
      </c>
      <c r="G12" s="5">
        <v>6</v>
      </c>
      <c r="I12" s="5" t="str">
        <v>SOLBBB</v>
      </c>
      <c r="J12" s="5">
        <v>4</v>
      </c>
    </row>
    <row r="13" spans="2:10" x14ac:dyDescent="0.25">
      <c r="B13" s="5" t="str">
        <v>ERFFP</v>
      </c>
      <c r="C13" s="5">
        <v>3</v>
      </c>
      <c r="D13" s="5" t="str">
        <v>ERFFP</v>
      </c>
      <c r="F13" s="5" t="str">
        <v>ORAFP</v>
      </c>
      <c r="G13" s="5">
        <v>5</v>
      </c>
      <c r="I13" s="5" t="str">
        <v>BAYNGR</v>
      </c>
      <c r="J13" s="5">
        <v>4</v>
      </c>
    </row>
    <row r="14" spans="2:10" x14ac:dyDescent="0.25">
      <c r="B14" s="5" t="str">
        <v>BNFP</v>
      </c>
      <c r="C14" s="5">
        <v>1</v>
      </c>
      <c r="D14" s="5" t="str">
        <v>-</v>
      </c>
      <c r="F14" s="5" t="str">
        <v>TELEFO</v>
      </c>
      <c r="G14" s="5">
        <v>8</v>
      </c>
      <c r="I14" s="5" t="str">
        <v>MRKGR</v>
      </c>
      <c r="J14" s="5">
        <v>4</v>
      </c>
    </row>
    <row r="15" spans="2:10" x14ac:dyDescent="0.25">
      <c r="B15" s="5" t="str">
        <v>ECLEAR</v>
      </c>
      <c r="C15" s="5">
        <v>1</v>
      </c>
      <c r="D15" s="5" t="str">
        <v>-</v>
      </c>
      <c r="F15" s="5" t="str">
        <v>ENGIFP</v>
      </c>
      <c r="G15" s="5">
        <v>5</v>
      </c>
      <c r="I15" s="5" t="str">
        <v>REPSM</v>
      </c>
      <c r="J15" s="5">
        <v>4</v>
      </c>
    </row>
    <row r="16" spans="2:10" x14ac:dyDescent="0.25">
      <c r="B16" s="5" t="str">
        <v>DBOERS</v>
      </c>
      <c r="C16" s="5">
        <v>2</v>
      </c>
      <c r="D16" s="5" t="str">
        <v>-</v>
      </c>
      <c r="F16" s="5" t="str">
        <v>SEVFP</v>
      </c>
      <c r="G16" s="5">
        <v>3</v>
      </c>
      <c r="I16" s="5" t="str">
        <v>ENELIM</v>
      </c>
      <c r="J16" s="5">
        <v>4</v>
      </c>
    </row>
    <row r="17" spans="2:10" x14ac:dyDescent="0.25">
      <c r="B17" s="5" t="str">
        <v>DBHNGR</v>
      </c>
      <c r="C17" s="5">
        <v>2</v>
      </c>
      <c r="D17" s="5" t="str">
        <v>-</v>
      </c>
      <c r="F17" s="5" t="str">
        <v>EDF</v>
      </c>
      <c r="G17" s="5">
        <v>5</v>
      </c>
      <c r="I17" s="5" t="str">
        <v>ORSTED</v>
      </c>
      <c r="J17" s="5">
        <v>4</v>
      </c>
    </row>
    <row r="18" spans="2:10" x14ac:dyDescent="0.25">
      <c r="B18" s="5" t="str">
        <v>OMVAV</v>
      </c>
      <c r="C18" s="5">
        <v>3</v>
      </c>
      <c r="D18" s="5" t="str">
        <v>OMVAV</v>
      </c>
      <c r="F18" s="5" t="str">
        <v>ENBW</v>
      </c>
      <c r="G18" s="5">
        <v>6</v>
      </c>
      <c r="I18" s="5" t="str">
        <v>AKEFP</v>
      </c>
      <c r="J18" s="5">
        <v>3</v>
      </c>
    </row>
    <row r="19" spans="2:10" x14ac:dyDescent="0.25">
      <c r="B19" s="5" t="str">
        <v>REPSM</v>
      </c>
      <c r="C19" s="5">
        <v>4</v>
      </c>
      <c r="D19" s="5" t="str">
        <v>REPSM</v>
      </c>
      <c r="F19" s="5" t="str">
        <v>ENELIM</v>
      </c>
      <c r="G19" s="5">
        <v>4</v>
      </c>
      <c r="I19" s="5" t="str">
        <v>ERFFP</v>
      </c>
      <c r="J19" s="5">
        <v>3</v>
      </c>
    </row>
    <row r="20" spans="2:10" x14ac:dyDescent="0.25">
      <c r="B20" s="5" t="str">
        <v>BPLN</v>
      </c>
      <c r="C20" s="5">
        <v>2</v>
      </c>
      <c r="D20" s="5" t="str">
        <v>-</v>
      </c>
      <c r="F20" s="5" t="str">
        <v>IBESM</v>
      </c>
      <c r="G20" s="5">
        <v>3</v>
      </c>
      <c r="I20" s="5" t="str">
        <v>OMVAV</v>
      </c>
      <c r="J20" s="5">
        <v>3</v>
      </c>
    </row>
    <row r="21" spans="2:10" x14ac:dyDescent="0.25">
      <c r="B21" s="5" t="str">
        <v>TOTAL</v>
      </c>
      <c r="C21" s="5">
        <v>6</v>
      </c>
      <c r="D21" s="5" t="str">
        <v>TOTAL</v>
      </c>
      <c r="F21" s="5" t="str">
        <v>ORSTED</v>
      </c>
      <c r="G21" s="5">
        <v>4</v>
      </c>
      <c r="I21" s="5" t="str">
        <v>SEVFP</v>
      </c>
      <c r="J21" s="5">
        <v>3</v>
      </c>
    </row>
    <row r="22" spans="2:10" x14ac:dyDescent="0.25">
      <c r="B22" s="5" t="str">
        <v>BHP</v>
      </c>
      <c r="C22" s="5">
        <v>2</v>
      </c>
      <c r="D22" s="5" t="str">
        <v>-</v>
      </c>
      <c r="F22" s="5" t="str">
        <v>EDPPL</v>
      </c>
      <c r="G22" s="5">
        <v>3</v>
      </c>
      <c r="I22" s="5" t="str">
        <v>IBESM</v>
      </c>
      <c r="J22" s="5">
        <v>3</v>
      </c>
    </row>
    <row r="23" spans="2:10" x14ac:dyDescent="0.25">
      <c r="B23" s="5" t="str">
        <v>AMXLMM</v>
      </c>
      <c r="C23" s="5">
        <v>1</v>
      </c>
      <c r="D23" s="5" t="str">
        <v>-</v>
      </c>
      <c r="F23" s="5" t="str">
        <v>VW</v>
      </c>
      <c r="G23" s="5">
        <v>11</v>
      </c>
      <c r="I23" s="5" t="str">
        <v>EDPPL</v>
      </c>
      <c r="J23" s="5">
        <v>3</v>
      </c>
    </row>
    <row r="24" spans="2:10" x14ac:dyDescent="0.25">
      <c r="B24" s="5" t="str">
        <v>BERTEL</v>
      </c>
      <c r="C24" s="5">
        <v>2</v>
      </c>
      <c r="D24" s="5" t="str">
        <v>-</v>
      </c>
      <c r="F24" s="5" t="str">
        <v>ACFP</v>
      </c>
      <c r="G24" s="5">
        <v>3</v>
      </c>
      <c r="I24" s="5" t="str">
        <v>ACFP</v>
      </c>
      <c r="J24" s="5">
        <v>3</v>
      </c>
    </row>
    <row r="25" spans="2:10" x14ac:dyDescent="0.25">
      <c r="B25" s="5" t="str">
        <v>KPN</v>
      </c>
      <c r="C25" s="5">
        <v>1</v>
      </c>
      <c r="D25" s="5" t="str">
        <v>-</v>
      </c>
      <c r="F25" s="5" t="str">
        <v>ARNDTN</v>
      </c>
      <c r="G25" s="5">
        <v>3</v>
      </c>
      <c r="I25" s="5" t="str">
        <v>ARNDTN</v>
      </c>
      <c r="J25" s="5">
        <v>3</v>
      </c>
    </row>
    <row r="26" spans="2:10" x14ac:dyDescent="0.25">
      <c r="B26" s="5" t="str">
        <v>TELIAS</v>
      </c>
      <c r="C26" s="5">
        <v>2</v>
      </c>
      <c r="D26" s="5" t="str">
        <v>-</v>
      </c>
      <c r="F26" s="5" t="str">
        <v>GYCGR</v>
      </c>
      <c r="G26" s="5">
        <v>3</v>
      </c>
      <c r="I26" s="5" t="str">
        <v>GYCGR</v>
      </c>
      <c r="J26" s="5">
        <v>3</v>
      </c>
    </row>
    <row r="27" spans="2:10" x14ac:dyDescent="0.25">
      <c r="B27" s="5" t="str">
        <v>SESGFP</v>
      </c>
      <c r="C27" s="5">
        <v>2</v>
      </c>
      <c r="D27" s="5" t="str">
        <v>-</v>
      </c>
    </row>
    <row r="28" spans="2:10" x14ac:dyDescent="0.25">
      <c r="B28" s="5" t="str">
        <v>ORAFP</v>
      </c>
      <c r="C28" s="5">
        <v>5</v>
      </c>
      <c r="D28" s="5" t="str">
        <v>ORAFP</v>
      </c>
    </row>
    <row r="29" spans="2:10" x14ac:dyDescent="0.25">
      <c r="B29" s="5" t="str">
        <v>TELEFO</v>
      </c>
      <c r="C29" s="5">
        <v>8</v>
      </c>
      <c r="D29" s="5" t="str">
        <v>TELEFO</v>
      </c>
    </row>
    <row r="30" spans="2:10" x14ac:dyDescent="0.25">
      <c r="B30" s="5" t="str">
        <v>VOD</v>
      </c>
      <c r="C30" s="5">
        <v>2</v>
      </c>
      <c r="D30" s="5" t="str">
        <v>-</v>
      </c>
    </row>
    <row r="31" spans="2:10" x14ac:dyDescent="0.25">
      <c r="B31" s="5" t="str">
        <v>BRITEL</v>
      </c>
      <c r="C31" s="5">
        <v>1</v>
      </c>
      <c r="D31" s="5" t="str">
        <v>-</v>
      </c>
    </row>
    <row r="32" spans="2:10" x14ac:dyDescent="0.25">
      <c r="B32" s="5" t="str">
        <v>IFXGR</v>
      </c>
      <c r="C32" s="5">
        <v>2</v>
      </c>
      <c r="D32" s="5" t="str">
        <v>-</v>
      </c>
    </row>
    <row r="33" spans="2:4" x14ac:dyDescent="0.25">
      <c r="B33" s="5" t="str">
        <v>T</v>
      </c>
      <c r="C33" s="5">
        <v>1</v>
      </c>
      <c r="D33" s="5" t="str">
        <v>-</v>
      </c>
    </row>
    <row r="34" spans="2:4" x14ac:dyDescent="0.25">
      <c r="B34" s="5" t="str">
        <v>ENGIFP</v>
      </c>
      <c r="C34" s="5">
        <v>5</v>
      </c>
      <c r="D34" s="5" t="str">
        <v>ENGIFP</v>
      </c>
    </row>
    <row r="35" spans="2:4" x14ac:dyDescent="0.25">
      <c r="B35" s="5" t="str">
        <v>SEVFP</v>
      </c>
      <c r="C35" s="5">
        <v>3</v>
      </c>
      <c r="D35" s="5" t="str">
        <v>SEVFP</v>
      </c>
    </row>
    <row r="36" spans="2:4" x14ac:dyDescent="0.25">
      <c r="B36" s="5" t="str">
        <v>EDF</v>
      </c>
      <c r="C36" s="5">
        <v>5</v>
      </c>
      <c r="D36" s="5" t="str">
        <v>EDF</v>
      </c>
    </row>
    <row r="37" spans="2:4" x14ac:dyDescent="0.25">
      <c r="B37" s="5" t="str">
        <v>ENBW</v>
      </c>
      <c r="C37" s="5">
        <v>6</v>
      </c>
      <c r="D37" s="5" t="str">
        <v>ENBW</v>
      </c>
    </row>
    <row r="38" spans="2:4" x14ac:dyDescent="0.25">
      <c r="B38" s="5" t="str">
        <v>RWE</v>
      </c>
      <c r="C38" s="5">
        <v>2</v>
      </c>
      <c r="D38" s="5" t="str">
        <v>-</v>
      </c>
    </row>
    <row r="39" spans="2:4" x14ac:dyDescent="0.25">
      <c r="B39" s="5" t="str">
        <v>TENN</v>
      </c>
      <c r="C39" s="5">
        <v>1</v>
      </c>
      <c r="D39" s="5" t="str">
        <v>-</v>
      </c>
    </row>
    <row r="40" spans="2:4" x14ac:dyDescent="0.25">
      <c r="B40" s="5" t="str">
        <v>VATFAL</v>
      </c>
      <c r="C40" s="5">
        <v>1</v>
      </c>
      <c r="D40" s="5" t="str">
        <v>-</v>
      </c>
    </row>
    <row r="41" spans="2:4" x14ac:dyDescent="0.25">
      <c r="B41" s="5" t="str">
        <v>ENELIM</v>
      </c>
      <c r="C41" s="5">
        <v>4</v>
      </c>
      <c r="D41" s="5" t="str">
        <v>ENELIM</v>
      </c>
    </row>
    <row r="42" spans="2:4" x14ac:dyDescent="0.25">
      <c r="B42" s="5" t="str">
        <v>IBESM</v>
      </c>
      <c r="C42" s="5">
        <v>3</v>
      </c>
      <c r="D42" s="5" t="str">
        <v>IBESM</v>
      </c>
    </row>
    <row r="43" spans="2:4" x14ac:dyDescent="0.25">
      <c r="B43" s="5" t="str">
        <v>NTGYSM</v>
      </c>
      <c r="C43" s="5">
        <v>2</v>
      </c>
      <c r="D43" s="5" t="str">
        <v>-</v>
      </c>
    </row>
    <row r="44" spans="2:4" x14ac:dyDescent="0.25">
      <c r="B44" s="5" t="str">
        <v>CNALN</v>
      </c>
      <c r="C44" s="5">
        <v>1</v>
      </c>
      <c r="D44" s="5" t="str">
        <v>-</v>
      </c>
    </row>
    <row r="45" spans="2:4" x14ac:dyDescent="0.25">
      <c r="B45" s="5" t="str">
        <v>NGGLN</v>
      </c>
      <c r="C45" s="5">
        <v>2</v>
      </c>
      <c r="D45" s="5" t="str">
        <v>-</v>
      </c>
    </row>
    <row r="46" spans="2:4" x14ac:dyDescent="0.25">
      <c r="B46" s="5" t="str">
        <v>SSELN</v>
      </c>
      <c r="C46" s="5">
        <v>2</v>
      </c>
      <c r="D46" s="5" t="str">
        <v>-</v>
      </c>
    </row>
    <row r="47" spans="2:4" x14ac:dyDescent="0.25">
      <c r="B47" s="5" t="str">
        <v>ALLRNV</v>
      </c>
      <c r="C47" s="5">
        <v>1</v>
      </c>
      <c r="D47" s="5" t="str">
        <v>-</v>
      </c>
    </row>
    <row r="48" spans="2:4" x14ac:dyDescent="0.25">
      <c r="B48" s="5" t="str">
        <v>ORSTED</v>
      </c>
      <c r="C48" s="5">
        <v>4</v>
      </c>
      <c r="D48" s="5" t="str">
        <v>ORSTED</v>
      </c>
    </row>
    <row r="49" spans="2:4" x14ac:dyDescent="0.25">
      <c r="B49" s="5" t="str">
        <v>STEDIN</v>
      </c>
      <c r="C49" s="5">
        <v>1</v>
      </c>
      <c r="D49" s="5" t="str">
        <v>-</v>
      </c>
    </row>
    <row r="50" spans="2:4" x14ac:dyDescent="0.25">
      <c r="B50" s="5" t="str">
        <v>EDPPL</v>
      </c>
      <c r="C50" s="5">
        <v>3</v>
      </c>
      <c r="D50" s="5" t="str">
        <v>EDPPL</v>
      </c>
    </row>
    <row r="51" spans="2:4" x14ac:dyDescent="0.25">
      <c r="B51" s="5" t="str">
        <v>ELIASO</v>
      </c>
      <c r="C51" s="5">
        <v>1</v>
      </c>
      <c r="D51" s="5" t="str">
        <v>-</v>
      </c>
    </row>
    <row r="52" spans="2:4" x14ac:dyDescent="0.25">
      <c r="B52" s="5" t="str">
        <v>VLVY</v>
      </c>
      <c r="C52" s="5">
        <v>1</v>
      </c>
      <c r="D52" s="5" t="str">
        <v>-</v>
      </c>
    </row>
    <row r="53" spans="2:4" x14ac:dyDescent="0.25">
      <c r="B53" s="5" t="str">
        <v>VW</v>
      </c>
      <c r="C53" s="5">
        <v>11</v>
      </c>
      <c r="D53" s="5" t="str">
        <v>VW</v>
      </c>
    </row>
    <row r="54" spans="2:4" x14ac:dyDescent="0.25">
      <c r="B54" s="5" t="str">
        <v>ACFP</v>
      </c>
      <c r="C54" s="5">
        <v>3</v>
      </c>
      <c r="D54" s="5" t="str">
        <v>ACFP</v>
      </c>
    </row>
    <row r="55" spans="2:4" x14ac:dyDescent="0.25">
      <c r="B55" s="5" t="str">
        <v>AFFP</v>
      </c>
      <c r="C55" s="5">
        <v>1</v>
      </c>
      <c r="D55" s="5" t="str">
        <v>-</v>
      </c>
    </row>
    <row r="56" spans="2:4" x14ac:dyDescent="0.25">
      <c r="B56" s="5" t="str">
        <v>LHAGR</v>
      </c>
      <c r="C56" s="5">
        <v>1</v>
      </c>
      <c r="D56" s="5" t="str">
        <v>-</v>
      </c>
    </row>
    <row r="57" spans="2:4" x14ac:dyDescent="0.25">
      <c r="B57" s="5" t="str">
        <v>FERSM</v>
      </c>
      <c r="C57" s="5">
        <v>1</v>
      </c>
      <c r="D57" s="5" t="str">
        <v>-</v>
      </c>
    </row>
    <row r="58" spans="2:4" x14ac:dyDescent="0.25">
      <c r="B58" s="5" t="str">
        <v>ANNGR</v>
      </c>
      <c r="C58" s="5">
        <v>1</v>
      </c>
      <c r="D58" s="5" t="str">
        <v>-</v>
      </c>
    </row>
    <row r="59" spans="2:4" x14ac:dyDescent="0.25">
      <c r="B59" s="5" t="str">
        <v>ULFP</v>
      </c>
      <c r="C59" s="5">
        <v>2</v>
      </c>
      <c r="D59" s="5" t="str">
        <v>-</v>
      </c>
    </row>
    <row r="60" spans="2:4" x14ac:dyDescent="0.25">
      <c r="B60" s="5" t="str">
        <v>AKFAST</v>
      </c>
      <c r="C60" s="5">
        <v>2</v>
      </c>
      <c r="D60" s="5" t="str">
        <v>-</v>
      </c>
    </row>
    <row r="61" spans="2:4" x14ac:dyDescent="0.25">
      <c r="B61" s="5" t="str">
        <v>BALDER</v>
      </c>
      <c r="C61" s="5">
        <v>1</v>
      </c>
      <c r="D61" s="5" t="str">
        <v>-</v>
      </c>
    </row>
    <row r="62" spans="2:4" x14ac:dyDescent="0.25">
      <c r="B62" s="5" t="str">
        <v>TLGGR</v>
      </c>
      <c r="C62" s="5">
        <v>1</v>
      </c>
      <c r="D62" s="5" t="str">
        <v>-</v>
      </c>
    </row>
    <row r="63" spans="2:4" x14ac:dyDescent="0.25">
      <c r="B63" s="5" t="str">
        <v>HEIBOS</v>
      </c>
      <c r="C63" s="5">
        <v>1</v>
      </c>
      <c r="D63" s="5" t="str">
        <v>-</v>
      </c>
    </row>
    <row r="64" spans="2:4" x14ac:dyDescent="0.25">
      <c r="B64" s="5" t="str">
        <v>SBBBSS</v>
      </c>
      <c r="C64" s="5">
        <v>2</v>
      </c>
      <c r="D64" s="5" t="str">
        <v>-</v>
      </c>
    </row>
    <row r="65" spans="2:4" x14ac:dyDescent="0.25">
      <c r="B65" s="5" t="str">
        <v>ARNDTN</v>
      </c>
      <c r="C65" s="5">
        <v>3</v>
      </c>
      <c r="D65" s="5" t="str">
        <v>ARNDTN</v>
      </c>
    </row>
    <row r="66" spans="2:4" x14ac:dyDescent="0.25">
      <c r="B66" s="5" t="str">
        <v>GYCGR</v>
      </c>
      <c r="C66" s="5">
        <v>3</v>
      </c>
      <c r="D66" s="5" t="str">
        <v>GYCGR</v>
      </c>
    </row>
    <row r="67" spans="2:4" x14ac:dyDescent="0.25">
      <c r="B67" s="5" t="str">
        <v>CPIPGR</v>
      </c>
      <c r="C67" s="5">
        <v>2</v>
      </c>
      <c r="D67" s="5" t="str">
        <v>-</v>
      </c>
    </row>
    <row r="68" spans="2:4" x14ac:dyDescent="0.25">
      <c r="B68" s="5" t="str">
        <v>JUSTLN</v>
      </c>
      <c r="C68" s="5">
        <v>0</v>
      </c>
      <c r="D68" s="5" t="str">
        <v>-</v>
      </c>
    </row>
    <row r="69" spans="2:4" x14ac:dyDescent="0.25">
      <c r="B69" s="5" t="str">
        <v>SZUGR</v>
      </c>
      <c r="C69" s="5">
        <v>1</v>
      </c>
      <c r="D69" s="5" t="str">
        <v>-</v>
      </c>
    </row>
    <row r="70" spans="2:4" x14ac:dyDescent="0.25">
      <c r="B70" s="5" t="str">
        <v>COFP</v>
      </c>
      <c r="C70" s="5">
        <v>1</v>
      </c>
      <c r="D70" s="5" t="str">
        <v>-</v>
      </c>
    </row>
    <row r="71" spans="2:4" x14ac:dyDescent="0.25">
      <c r="B71" s="5" t="str">
        <v>SBRYLN</v>
      </c>
      <c r="C71" s="5">
        <v>0</v>
      </c>
      <c r="D71" s="5" t="str">
        <v>-</v>
      </c>
    </row>
    <row r="72" spans="2:4" x14ac:dyDescent="0.25">
      <c r="B72" s="5" t="str">
        <v>WIEAV</v>
      </c>
      <c r="C72" s="5">
        <v>1</v>
      </c>
      <c r="D72" s="5" t="str">
        <v>-</v>
      </c>
    </row>
    <row r="73" spans="2:4" x14ac:dyDescent="0.25">
      <c r="B73" s="5" t="str">
        <v>TRAFIG</v>
      </c>
      <c r="C73" s="5">
        <v>1</v>
      </c>
      <c r="D73" s="5" t="str">
        <v>-</v>
      </c>
    </row>
    <row r="74" spans="2:4" x14ac:dyDescent="0.25">
      <c r="B74" s="5" t="str">
        <v>SOFTBK</v>
      </c>
      <c r="C74" s="5">
        <v>0</v>
      </c>
      <c r="D74" s="5" t="str">
        <v>-</v>
      </c>
    </row>
  </sheetData>
  <conditionalFormatting sqref="G5:G26">
    <cfRule type="dataBar" priority="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{464407FF-C33C-44B0-AD50-D9938A78685B}</x14:id>
        </ext>
      </extLst>
    </cfRule>
  </conditionalFormatting>
  <conditionalFormatting sqref="J5:J26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{8AC3D501-50C4-417A-96EF-B77AD36BFC0C}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64407FF-C33C-44B0-AD50-D9938A78685B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G5:G26</xm:sqref>
        </x14:conditionalFormatting>
        <x14:conditionalFormatting xmlns:xm="http://schemas.microsoft.com/office/excel/2006/main">
          <x14:cfRule type="dataBar" id="{8AC3D501-50C4-417A-96EF-B77AD36BFC0C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J5:J26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CEE74-F7E2-4414-8AF5-2FE9BA4CF327}">
  <sheetPr>
    <tabColor theme="8"/>
  </sheetPr>
  <dimension ref="A2:F198"/>
  <sheetViews>
    <sheetView topLeftCell="A10" zoomScaleNormal="100" workbookViewId="0">
      <selection activeCell="A62" sqref="A62"/>
    </sheetView>
  </sheetViews>
  <sheetFormatPr defaultColWidth="8.7265625" defaultRowHeight="10.5" x14ac:dyDescent="0.25"/>
  <cols>
    <col min="1" max="1" width="27.26953125" style="5" bestFit="1" customWidth="1"/>
    <col min="2" max="2" width="12.81640625" style="5" bestFit="1" customWidth="1"/>
    <col min="3" max="3" width="10.54296875" style="5" bestFit="1" customWidth="1"/>
    <col min="4" max="4" width="11.7265625" style="5" bestFit="1" customWidth="1"/>
    <col min="5" max="16384" width="8.7265625" style="5"/>
  </cols>
  <sheetData>
    <row r="2" spans="1:6" ht="16" x14ac:dyDescent="0.4">
      <c r="A2" s="24" t="s">
        <v>407</v>
      </c>
    </row>
    <row r="3" spans="1:6" x14ac:dyDescent="0.25">
      <c r="A3" s="5" t="s">
        <v>408</v>
      </c>
      <c r="B3" s="8">
        <f ca="1">TODAY()</f>
        <v>44015</v>
      </c>
    </row>
    <row r="5" spans="1:6" ht="11" x14ac:dyDescent="0.3">
      <c r="A5" s="4" t="s">
        <v>409</v>
      </c>
      <c r="B5" s="4" t="s">
        <v>410</v>
      </c>
      <c r="C5" s="4" t="s">
        <v>15</v>
      </c>
      <c r="D5" s="4" t="s">
        <v>147</v>
      </c>
      <c r="E5" s="4" t="s">
        <v>6</v>
      </c>
      <c r="F5" s="4" t="s">
        <v>411</v>
      </c>
    </row>
    <row r="6" spans="1:6" x14ac:dyDescent="0.25">
      <c r="A6" s="5" t="str" cm="1">
        <f t="array" ref="A6:A55">INDEX(_xlfn.SORTBY(bonds[unique lookup],bonds[nxt_call_dt],1),_xlfn.SEQUENCE(50))</f>
        <v>SBRYLN 6 1/2 PERP nc-20</v>
      </c>
      <c r="B6" s="8" cm="1">
        <f t="array" ref="B6:B55">_xlfn.XLOOKUP(_xlfn.ANCHORARRAY(A6),bonds[unique lookup],bonds[nxt_call_dt])</f>
        <v>44042</v>
      </c>
      <c r="C6" s="17" cm="1">
        <f t="array" aca="1" ref="C6:C55" ca="1">(_xlfn.ANCHORARRAY(B6)-TODAY())/365</f>
        <v>7.3972602739726029E-2</v>
      </c>
      <c r="D6" s="5" t="str" cm="1">
        <f t="array" ref="D6:D55">_xlfn.XLOOKUP(_xlfn.ANCHORARRAY(A6),bonds[unique lookup],bonds[ID_ISIN])</f>
        <v>XS1268050397</v>
      </c>
      <c r="E6" s="18" t="str" cm="1">
        <f t="array" ref="E6:E55">_xll.BDP(_xlfn.ANCHORARRAY(D6)&amp;" Corp","bb_composite")</f>
        <v>#N/A N/A</v>
      </c>
      <c r="F6" s="18" cm="1">
        <f t="array" ref="F6:F55">_xll.BDP(_xlfn.ANCHORARRAY(D6)&amp;" Corp","yas_ispread")</f>
        <v>20.867568430504267</v>
      </c>
    </row>
    <row r="7" spans="1:6" x14ac:dyDescent="0.25">
      <c r="A7" s="5" t="str">
        <v>AMXLMM 6 3/8 09/06/73 nc-20</v>
      </c>
      <c r="B7" s="8">
        <v>44080</v>
      </c>
      <c r="C7" s="17">
        <f ca="1"/>
        <v>0.17808219178082191</v>
      </c>
      <c r="D7" s="5" t="str">
        <v>XS0969342384</v>
      </c>
      <c r="E7" s="5" t="str">
        <v>BBB-</v>
      </c>
      <c r="F7" s="18">
        <v>351.15133879731889</v>
      </c>
    </row>
    <row r="8" spans="1:6" x14ac:dyDescent="0.25">
      <c r="A8" s="5" t="str">
        <v>ENELIM 7 3/4 09/10/75 nc-20</v>
      </c>
      <c r="B8" s="8">
        <v>44084</v>
      </c>
      <c r="C8" s="17">
        <f ca="1"/>
        <v>0.18904109589041096</v>
      </c>
      <c r="D8" s="5" t="str">
        <v>XS0954674825</v>
      </c>
      <c r="E8" s="18" t="str">
        <v>BBB-</v>
      </c>
      <c r="F8" s="18">
        <v>161.54678656422945</v>
      </c>
    </row>
    <row r="9" spans="1:6" x14ac:dyDescent="0.25">
      <c r="A9" s="5" t="str">
        <v>SSELN 3 7/8 PERP nc-20</v>
      </c>
      <c r="B9" s="8">
        <v>44084</v>
      </c>
      <c r="C9" s="17">
        <f ca="1"/>
        <v>0.18904109589041096</v>
      </c>
      <c r="D9" s="5" t="str">
        <v>XS1196714429</v>
      </c>
      <c r="E9" s="5" t="str">
        <v>BBB-</v>
      </c>
      <c r="F9" s="18">
        <v>218.11598609985015</v>
      </c>
    </row>
    <row r="10" spans="1:6" x14ac:dyDescent="0.25">
      <c r="A10" s="5" t="str">
        <v>SZUGR Float PERP nc-20</v>
      </c>
      <c r="B10" s="8">
        <v>44104</v>
      </c>
      <c r="C10" s="17">
        <f ca="1"/>
        <v>0.24383561643835616</v>
      </c>
      <c r="D10" s="5" t="str">
        <v>XS0222524372</v>
      </c>
      <c r="E10" s="5" t="str">
        <v>B</v>
      </c>
      <c r="F10" s="18" t="str">
        <v>#N/A N/A</v>
      </c>
    </row>
    <row r="11" spans="1:6" x14ac:dyDescent="0.25">
      <c r="A11" s="5" t="str">
        <v>AFFP 6 1/4 PERP nc-20</v>
      </c>
      <c r="B11" s="8">
        <v>44105</v>
      </c>
      <c r="C11" s="17">
        <f ca="1"/>
        <v>0.24657534246575341</v>
      </c>
      <c r="D11" s="5" t="str">
        <v>FR0012650281</v>
      </c>
      <c r="E11" s="5" t="str">
        <v>#N/A N/A</v>
      </c>
      <c r="F11" s="18">
        <v>1281.5710696005908</v>
      </c>
    </row>
    <row r="12" spans="1:6" x14ac:dyDescent="0.25">
      <c r="A12" s="5" t="str">
        <v>BHP 6 1/4 10/19/75 nc-20</v>
      </c>
      <c r="B12" s="8">
        <v>44123</v>
      </c>
      <c r="C12" s="17">
        <f ca="1"/>
        <v>0.29589041095890412</v>
      </c>
      <c r="D12" s="5" t="str">
        <v>USQ12441AA19</v>
      </c>
      <c r="E12" s="5" t="str">
        <v>BBB+</v>
      </c>
      <c r="F12" s="18">
        <v>318.63122483195394</v>
      </c>
    </row>
    <row r="13" spans="1:6" x14ac:dyDescent="0.25">
      <c r="A13" s="5" t="str">
        <v>RWE 2 3/4 04/21/75 nc-20</v>
      </c>
      <c r="B13" s="8">
        <v>44125</v>
      </c>
      <c r="C13" s="17">
        <f ca="1"/>
        <v>0.30136986301369861</v>
      </c>
      <c r="D13" s="5" t="str">
        <v>XS1219498141</v>
      </c>
      <c r="E13" s="5" t="str">
        <v>BB</v>
      </c>
      <c r="F13" s="18">
        <v>307.85186633142831</v>
      </c>
    </row>
    <row r="14" spans="1:6" x14ac:dyDescent="0.25">
      <c r="A14" s="5" t="str">
        <v>AKEFP 4 3/4 PERP nc-20</v>
      </c>
      <c r="B14" s="8">
        <v>44133</v>
      </c>
      <c r="C14" s="17">
        <f ca="1"/>
        <v>0.32328767123287672</v>
      </c>
      <c r="D14" s="5" t="str">
        <v>FR0012278539</v>
      </c>
      <c r="E14" s="5" t="str">
        <v>BBB-</v>
      </c>
      <c r="F14" s="18">
        <v>187.76198626946353</v>
      </c>
    </row>
    <row r="15" spans="1:6" x14ac:dyDescent="0.25">
      <c r="A15" s="5" t="str">
        <v>DBOERS 2 3/4 02/05/41 nc-20</v>
      </c>
      <c r="B15" s="8">
        <v>44140</v>
      </c>
      <c r="C15" s="17">
        <f ca="1"/>
        <v>0.34246575342465752</v>
      </c>
      <c r="D15" s="5" t="str">
        <v>DE000A161W62</v>
      </c>
      <c r="E15" s="5" t="str">
        <v>NR</v>
      </c>
      <c r="F15" s="18">
        <v>36.885603663795777</v>
      </c>
    </row>
    <row r="16" spans="1:6" x14ac:dyDescent="0.25">
      <c r="A16" s="5" t="str">
        <v>WIEAV 5 PERP nc-21</v>
      </c>
      <c r="B16" s="8">
        <v>44236</v>
      </c>
      <c r="C16" s="17">
        <f ca="1"/>
        <v>0.60547945205479448</v>
      </c>
      <c r="D16" s="5" t="str">
        <v>DE000A1ZN206</v>
      </c>
      <c r="E16" s="5" t="str">
        <v>NR</v>
      </c>
      <c r="F16" s="18">
        <v>434.26699772463752</v>
      </c>
    </row>
    <row r="17" spans="1:6" x14ac:dyDescent="0.25">
      <c r="A17" s="5" t="str">
        <v>LHAGR 5 1/8 08/12/75 nc-21</v>
      </c>
      <c r="B17" s="8">
        <v>44239</v>
      </c>
      <c r="C17" s="17">
        <f ca="1"/>
        <v>0.61369863013698633</v>
      </c>
      <c r="D17" s="5" t="str">
        <v>XS1271836600</v>
      </c>
      <c r="E17" s="5" t="str">
        <v>NR</v>
      </c>
      <c r="F17" s="18">
        <v>3682.5189460148381</v>
      </c>
    </row>
    <row r="18" spans="1:6" x14ac:dyDescent="0.25">
      <c r="A18" s="5" t="str">
        <v>TOTAL 2 1/4 PERP nc-21</v>
      </c>
      <c r="B18" s="8">
        <v>44253</v>
      </c>
      <c r="C18" s="17">
        <f ca="1"/>
        <v>0.65205479452054793</v>
      </c>
      <c r="D18" s="5" t="str">
        <v>XS1195201931</v>
      </c>
      <c r="E18" s="5" t="str">
        <v>A-</v>
      </c>
      <c r="F18" s="18">
        <v>210.77593602417565</v>
      </c>
    </row>
    <row r="19" spans="1:6" x14ac:dyDescent="0.25">
      <c r="A19" s="5" t="str">
        <v>VW 3 3/4 PERP nc-21</v>
      </c>
      <c r="B19" s="8">
        <v>44279</v>
      </c>
      <c r="C19" s="17">
        <f ca="1"/>
        <v>0.72328767123287674</v>
      </c>
      <c r="D19" s="5" t="str">
        <v>XS1048428012</v>
      </c>
      <c r="E19" s="5" t="str">
        <v>BBB-</v>
      </c>
      <c r="F19" s="18">
        <v>262.20667854021468</v>
      </c>
    </row>
    <row r="20" spans="1:6" x14ac:dyDescent="0.25">
      <c r="A20" s="5" t="str">
        <v>REPSM 3 7/8 PERP nc-21</v>
      </c>
      <c r="B20" s="8">
        <v>44280</v>
      </c>
      <c r="C20" s="17">
        <f ca="1"/>
        <v>0.72602739726027399</v>
      </c>
      <c r="D20" s="5" t="str">
        <v>XS1207054666</v>
      </c>
      <c r="E20" s="5" t="str">
        <v>BB+</v>
      </c>
      <c r="F20" s="18">
        <v>272.94072468861089</v>
      </c>
    </row>
    <row r="21" spans="1:6" x14ac:dyDescent="0.25">
      <c r="A21" s="5" t="str">
        <v>SSELN 2 3/8 PERP nc-21</v>
      </c>
      <c r="B21" s="8">
        <v>44287</v>
      </c>
      <c r="C21" s="17">
        <f ca="1"/>
        <v>0.74520547945205484</v>
      </c>
      <c r="D21" s="5" t="str">
        <v>XS1196713298</v>
      </c>
      <c r="E21" s="5" t="str">
        <v>BBB-</v>
      </c>
      <c r="F21" s="18">
        <v>282.87833594609981</v>
      </c>
    </row>
    <row r="22" spans="1:6" x14ac:dyDescent="0.25">
      <c r="A22" s="5" t="str">
        <v>ENBW 3 5/8 04/02/76 nc-21</v>
      </c>
      <c r="B22" s="8">
        <v>44288</v>
      </c>
      <c r="C22" s="17">
        <f ca="1"/>
        <v>0.74794520547945209</v>
      </c>
      <c r="D22" s="5" t="str">
        <v>XS1044811591</v>
      </c>
      <c r="E22" s="5" t="str">
        <v>BBB-</v>
      </c>
      <c r="F22" s="18">
        <v>190.70882040372717</v>
      </c>
    </row>
    <row r="23" spans="1:6" x14ac:dyDescent="0.25">
      <c r="A23" s="5" t="str">
        <v>ENBW 3 5/8 04/02/76 nc-21</v>
      </c>
      <c r="B23" s="8">
        <v>44288</v>
      </c>
      <c r="C23" s="17">
        <f ca="1"/>
        <v>0.74794520547945209</v>
      </c>
      <c r="D23" s="5" t="str">
        <v>XS1044811591</v>
      </c>
      <c r="E23" s="5" t="str">
        <v>BBB-</v>
      </c>
      <c r="F23" s="18">
        <v>190.70882040372717</v>
      </c>
    </row>
    <row r="24" spans="1:6" x14ac:dyDescent="0.25">
      <c r="A24" s="5" t="str">
        <v>CNALN 3 04/10/76 nc-21</v>
      </c>
      <c r="B24" s="8">
        <v>44296</v>
      </c>
      <c r="C24" s="17">
        <f ca="1"/>
        <v>0.76986301369863008</v>
      </c>
      <c r="D24" s="5" t="str">
        <v>XS1216020161</v>
      </c>
      <c r="E24" s="5" t="str">
        <v>BB+</v>
      </c>
      <c r="F24" s="18">
        <v>523.37644002457353</v>
      </c>
    </row>
    <row r="25" spans="1:6" x14ac:dyDescent="0.25">
      <c r="A25" s="5" t="str">
        <v>BHP 4 3/4 04/22/76 nc-21</v>
      </c>
      <c r="B25" s="8">
        <v>44308</v>
      </c>
      <c r="C25" s="17">
        <f ca="1"/>
        <v>0.80273972602739729</v>
      </c>
      <c r="D25" s="5" t="str">
        <v>XS1309436753</v>
      </c>
      <c r="E25" s="5" t="str">
        <v>BBB+</v>
      </c>
      <c r="F25" s="18">
        <v>250.18045387865507</v>
      </c>
    </row>
    <row r="26" spans="1:6" x14ac:dyDescent="0.25">
      <c r="A26" s="5" t="str">
        <v>SOLBBB 5.118 PERP nc-21</v>
      </c>
      <c r="B26" s="8">
        <v>44349</v>
      </c>
      <c r="C26" s="17">
        <f ca="1"/>
        <v>0.91506849315068495</v>
      </c>
      <c r="D26" s="5" t="str">
        <v>XS1323897485</v>
      </c>
      <c r="E26" s="5" t="str">
        <v>BB+</v>
      </c>
      <c r="F26" s="18">
        <v>352.82412070568279</v>
      </c>
    </row>
    <row r="27" spans="1:6" x14ac:dyDescent="0.25">
      <c r="A27" s="5" t="str">
        <v>MRKGR 2 5/8 12/12/74 nc-21</v>
      </c>
      <c r="B27" s="8">
        <v>44359</v>
      </c>
      <c r="C27" s="17">
        <f ca="1"/>
        <v>0.94246575342465755</v>
      </c>
      <c r="D27" s="5" t="str">
        <v>XS1152338072</v>
      </c>
      <c r="E27" s="5" t="str">
        <v>BBB</v>
      </c>
      <c r="F27" s="18">
        <v>224.8889603533874</v>
      </c>
    </row>
    <row r="28" spans="1:6" x14ac:dyDescent="0.25">
      <c r="A28" s="5" t="str">
        <v>ENGIFP 4 3/4 PERP nc-21</v>
      </c>
      <c r="B28" s="8">
        <v>44387</v>
      </c>
      <c r="C28" s="17">
        <f ca="1"/>
        <v>1.0191780821917809</v>
      </c>
      <c r="D28" s="5" t="str">
        <v>FR0011531730</v>
      </c>
      <c r="E28" s="5" t="str">
        <v>BBB</v>
      </c>
      <c r="F28" s="18">
        <v>164.87854031301654</v>
      </c>
    </row>
    <row r="29" spans="1:6" x14ac:dyDescent="0.25">
      <c r="A29" s="5" t="str">
        <v>ENELIM 6 5/8 09/15/76 nc-21</v>
      </c>
      <c r="B29" s="8">
        <v>44454</v>
      </c>
      <c r="C29" s="17">
        <f ca="1"/>
        <v>1.2027397260273973</v>
      </c>
      <c r="D29" s="5" t="str">
        <v>XS1014987355</v>
      </c>
      <c r="E29" s="5" t="str">
        <v>BBB-</v>
      </c>
      <c r="F29" s="18">
        <v>246.94626613869858</v>
      </c>
    </row>
    <row r="30" spans="1:6" x14ac:dyDescent="0.25">
      <c r="A30" s="5" t="str">
        <v>ORAFP 4 PERP nc-21</v>
      </c>
      <c r="B30" s="8">
        <v>44470</v>
      </c>
      <c r="C30" s="17">
        <f ca="1"/>
        <v>1.2465753424657535</v>
      </c>
      <c r="D30" s="5" t="str">
        <v>XS1115490523</v>
      </c>
      <c r="E30" s="5" t="str">
        <v>BBB-</v>
      </c>
      <c r="F30" s="18">
        <v>162.03994648143552</v>
      </c>
    </row>
    <row r="31" spans="1:6" x14ac:dyDescent="0.25">
      <c r="A31" s="5" t="str">
        <v>STEDIN 3 1/4 PERP nc-21</v>
      </c>
      <c r="B31" s="8">
        <v>44531</v>
      </c>
      <c r="C31" s="17">
        <f ca="1"/>
        <v>1.4136986301369863</v>
      </c>
      <c r="D31" s="5" t="str">
        <v>XS1141810991</v>
      </c>
      <c r="E31" s="5" t="str">
        <v>NR</v>
      </c>
      <c r="F31" s="18">
        <v>259.01107560208499</v>
      </c>
    </row>
    <row r="32" spans="1:6" x14ac:dyDescent="0.25">
      <c r="A32" s="5" t="str">
        <v>OMVAV 5 1/4 PERP nc-21</v>
      </c>
      <c r="B32" s="8">
        <v>44539</v>
      </c>
      <c r="C32" s="17">
        <f ca="1"/>
        <v>1.4356164383561645</v>
      </c>
      <c r="D32" s="5" t="str">
        <v>XS1294342792</v>
      </c>
      <c r="E32" s="5" t="str">
        <v>BBB</v>
      </c>
      <c r="F32" s="18">
        <v>223.89361335620902</v>
      </c>
    </row>
    <row r="33" spans="1:6" x14ac:dyDescent="0.25">
      <c r="A33" s="5" t="str">
        <v>ANNGR 4 PERP nc-21</v>
      </c>
      <c r="B33" s="8">
        <v>44547</v>
      </c>
      <c r="C33" s="17">
        <f ca="1"/>
        <v>1.4575342465753425</v>
      </c>
      <c r="D33" s="5" t="str">
        <v>XS1117300837</v>
      </c>
      <c r="E33" s="5" t="str">
        <v>NR</v>
      </c>
      <c r="F33" s="18">
        <v>242.7043415415003</v>
      </c>
    </row>
    <row r="34" spans="1:6" x14ac:dyDescent="0.25">
      <c r="A34" s="5" t="str">
        <v>TRAFIG 6 7/8 PERP nc-21</v>
      </c>
      <c r="B34" s="8">
        <v>44552</v>
      </c>
      <c r="C34" s="17">
        <f ca="1"/>
        <v>1.4712328767123288</v>
      </c>
      <c r="D34" s="5" t="str">
        <v>XS1582433428</v>
      </c>
      <c r="E34" s="5" t="str">
        <v>#N/A N/A</v>
      </c>
      <c r="F34" s="18">
        <v>1336.9628109406992</v>
      </c>
    </row>
    <row r="35" spans="1:6" x14ac:dyDescent="0.25">
      <c r="A35" s="5" t="str">
        <v>SESGFP 4 5/8 PERP nc-22</v>
      </c>
      <c r="B35" s="8">
        <v>44563</v>
      </c>
      <c r="C35" s="17">
        <f ca="1"/>
        <v>1.5013698630136987</v>
      </c>
      <c r="D35" s="5" t="str">
        <v>XS1405777746</v>
      </c>
      <c r="E35" s="5" t="str">
        <v>BB</v>
      </c>
      <c r="F35" s="18">
        <v>383.17496263226667</v>
      </c>
    </row>
    <row r="36" spans="1:6" x14ac:dyDescent="0.25">
      <c r="A36" s="5" t="str">
        <v>ENBW 3 3/8 04/05/77 nc-22</v>
      </c>
      <c r="B36" s="8">
        <v>44566</v>
      </c>
      <c r="C36" s="17">
        <f ca="1"/>
        <v>1.5095890410958903</v>
      </c>
      <c r="D36" s="5" t="str">
        <v>XS1405770907</v>
      </c>
      <c r="E36" s="5" t="str">
        <v>BBB-</v>
      </c>
      <c r="F36" s="18">
        <v>193.81787218629401</v>
      </c>
    </row>
    <row r="37" spans="1:6" x14ac:dyDescent="0.25">
      <c r="A37" s="5" t="str">
        <v>ENBW 5 1/8 04/05/77 nc-22</v>
      </c>
      <c r="B37" s="8">
        <v>44566</v>
      </c>
      <c r="C37" s="17">
        <f ca="1"/>
        <v>1.5095890410958903</v>
      </c>
      <c r="D37" s="5" t="str">
        <v>XS1498442521</v>
      </c>
      <c r="E37" s="5" t="str">
        <v>BBB-</v>
      </c>
      <c r="F37" s="18">
        <v>299.17090128469596</v>
      </c>
    </row>
    <row r="38" spans="1:6" x14ac:dyDescent="0.25">
      <c r="A38" s="5" t="str">
        <v>EDF 4 1/8 PERP nc-22</v>
      </c>
      <c r="B38" s="8">
        <v>44583</v>
      </c>
      <c r="C38" s="17">
        <f ca="1"/>
        <v>1.5561643835616439</v>
      </c>
      <c r="D38" s="5" t="str">
        <v>FR0011697010</v>
      </c>
      <c r="E38" s="5" t="str">
        <v>BB+</v>
      </c>
      <c r="F38" s="18">
        <v>272.53140262269307</v>
      </c>
    </row>
    <row r="39" spans="1:6" x14ac:dyDescent="0.25">
      <c r="A39" s="5" t="str">
        <v>ORAFP 5 7/8 PERP nc-22</v>
      </c>
      <c r="B39" s="8">
        <v>44599</v>
      </c>
      <c r="C39" s="17">
        <f ca="1"/>
        <v>1.6</v>
      </c>
      <c r="D39" s="5" t="str">
        <v>XS1028597315</v>
      </c>
      <c r="E39" s="5" t="str">
        <v>BBB-</v>
      </c>
      <c r="F39" s="18">
        <v>182.44773495799774</v>
      </c>
    </row>
    <row r="40" spans="1:6" x14ac:dyDescent="0.25">
      <c r="A40" s="5" t="str">
        <v>GYCGR 3 3/4 PERP nc-22</v>
      </c>
      <c r="B40" s="8">
        <v>44610</v>
      </c>
      <c r="C40" s="17">
        <f ca="1"/>
        <v>1.6301369863013699</v>
      </c>
      <c r="D40" s="5" t="str">
        <v>XS1191320297</v>
      </c>
      <c r="E40" s="5" t="str">
        <v>BBB-</v>
      </c>
      <c r="F40" s="18">
        <v>265.93014234255486</v>
      </c>
    </row>
    <row r="41" spans="1:6" x14ac:dyDescent="0.25">
      <c r="A41" s="5" t="str">
        <v>TELEFO 3 3/4 PERP nc-22</v>
      </c>
      <c r="B41" s="8">
        <v>44635</v>
      </c>
      <c r="C41" s="17">
        <f ca="1"/>
        <v>1.6986301369863013</v>
      </c>
      <c r="D41" s="5" t="str">
        <v>XS1490960942</v>
      </c>
      <c r="E41" s="5" t="str">
        <v>BB</v>
      </c>
      <c r="F41" s="18">
        <v>369.80731951217501</v>
      </c>
    </row>
    <row r="42" spans="1:6" x14ac:dyDescent="0.25">
      <c r="A42" s="5" t="str">
        <v>VW 2 1/2 PERP nc-22</v>
      </c>
      <c r="B42" s="8">
        <v>44640</v>
      </c>
      <c r="C42" s="17">
        <f ca="1"/>
        <v>1.7123287671232876</v>
      </c>
      <c r="D42" s="5" t="str">
        <v>XS1206540806</v>
      </c>
      <c r="E42" s="5" t="str">
        <v>BBB-</v>
      </c>
      <c r="F42" s="18">
        <v>382.66932800848991</v>
      </c>
    </row>
    <row r="43" spans="1:6" x14ac:dyDescent="0.25">
      <c r="A43" s="5" t="str">
        <v>SEVFP 2 1/2 PERP nc-22</v>
      </c>
      <c r="B43" s="8">
        <v>44650</v>
      </c>
      <c r="C43" s="17">
        <f ca="1"/>
        <v>1.7397260273972603</v>
      </c>
      <c r="D43" s="5" t="str">
        <v>FR0012648590</v>
      </c>
      <c r="E43" s="5" t="str">
        <v>NR</v>
      </c>
      <c r="F43" s="18">
        <v>257.85234988962981</v>
      </c>
    </row>
    <row r="44" spans="1:6" x14ac:dyDescent="0.25">
      <c r="A44" s="5" t="str">
        <v>TOTAL 3 7/8 PERP nc-22</v>
      </c>
      <c r="B44" s="8">
        <v>44699</v>
      </c>
      <c r="C44" s="17">
        <f ca="1"/>
        <v>1.8739726027397261</v>
      </c>
      <c r="D44" s="5" t="str">
        <v>XS1413581205</v>
      </c>
      <c r="E44" s="5" t="str">
        <v>A-</v>
      </c>
      <c r="F44" s="18">
        <v>225.04883416972805</v>
      </c>
    </row>
    <row r="45" spans="1:6" x14ac:dyDescent="0.25">
      <c r="A45" s="5" t="str">
        <v>SSELN 3 5/8 09/16/77 nc-22</v>
      </c>
      <c r="B45" s="8">
        <v>44728</v>
      </c>
      <c r="C45" s="17">
        <f ca="1"/>
        <v>1.9534246575342467</v>
      </c>
      <c r="D45" s="5" t="str">
        <v>XS1572349865</v>
      </c>
      <c r="E45" s="5" t="str">
        <v>BBB-</v>
      </c>
      <c r="F45" s="18">
        <v>292.84078210177205</v>
      </c>
    </row>
    <row r="46" spans="1:6" x14ac:dyDescent="0.25">
      <c r="A46" s="5" t="str">
        <v>SSELN 4 3/4 09/16/77 nc-22</v>
      </c>
      <c r="B46" s="8">
        <v>44728</v>
      </c>
      <c r="C46" s="17">
        <f ca="1"/>
        <v>1.9534246575342467</v>
      </c>
      <c r="D46" s="5" t="str">
        <v>XS1572343744</v>
      </c>
      <c r="E46" s="5" t="str">
        <v>BBB-</v>
      </c>
      <c r="F46" s="18">
        <v>383.5493024389703</v>
      </c>
    </row>
    <row r="47" spans="1:6" x14ac:dyDescent="0.25">
      <c r="A47" s="5" t="str">
        <v>EVKGR 2 1/8 07/07/77 nc-22</v>
      </c>
      <c r="B47" s="8">
        <v>44780</v>
      </c>
      <c r="C47" s="17">
        <f ca="1"/>
        <v>2.095890410958904</v>
      </c>
      <c r="D47" s="5" t="str">
        <v>DE000A2GSFF1</v>
      </c>
      <c r="E47" s="5" t="str">
        <v>BBB-</v>
      </c>
      <c r="F47" s="18">
        <v>310.23780512162574</v>
      </c>
    </row>
    <row r="48" spans="1:6" x14ac:dyDescent="0.25">
      <c r="A48" s="5" t="str">
        <v>ERFFP 2 7/8 PERP nc-22</v>
      </c>
      <c r="B48" s="8">
        <v>44784</v>
      </c>
      <c r="C48" s="17">
        <f ca="1"/>
        <v>2.106849315068493</v>
      </c>
      <c r="D48" s="5" t="str">
        <v>XS2051471105</v>
      </c>
      <c r="E48" s="5" t="str">
        <v>#N/A N/A</v>
      </c>
      <c r="F48" s="18">
        <v>429.10113856387778</v>
      </c>
    </row>
    <row r="49" spans="1:6" x14ac:dyDescent="0.25">
      <c r="A49" s="5" t="str">
        <v>BAYNGR 2 3/8 04/02/75 nc-22</v>
      </c>
      <c r="B49" s="8">
        <v>44836</v>
      </c>
      <c r="C49" s="17">
        <f ca="1"/>
        <v>2.2493150684931509</v>
      </c>
      <c r="D49" s="5" t="str">
        <v>DE000A14J611</v>
      </c>
      <c r="E49" s="5" t="str">
        <v>BB+</v>
      </c>
      <c r="F49" s="18">
        <v>298.84951839325561</v>
      </c>
    </row>
    <row r="50" spans="1:6" x14ac:dyDescent="0.25">
      <c r="A50" s="5" t="str">
        <v>BHP 6 1/2 10/22/77 nc-22</v>
      </c>
      <c r="B50" s="8">
        <v>44856</v>
      </c>
      <c r="C50" s="17">
        <f ca="1"/>
        <v>2.3041095890410959</v>
      </c>
      <c r="D50" s="5" t="str">
        <v>XS1309437215</v>
      </c>
      <c r="E50" s="5" t="str">
        <v>BBB+</v>
      </c>
      <c r="F50" s="18">
        <v>246.33980347268073</v>
      </c>
    </row>
    <row r="51" spans="1:6" x14ac:dyDescent="0.25">
      <c r="A51" s="5" t="str">
        <v>NTGYSM 4 1/8 PERP nc-22</v>
      </c>
      <c r="B51" s="8">
        <v>44883</v>
      </c>
      <c r="C51" s="17">
        <f ca="1"/>
        <v>2.3780821917808219</v>
      </c>
      <c r="D51" s="5" t="str">
        <v>XS1139494493</v>
      </c>
      <c r="E51" s="5" t="str">
        <v>BB+</v>
      </c>
      <c r="F51" s="18">
        <v>321.07097048852944</v>
      </c>
    </row>
    <row r="52" spans="1:6" x14ac:dyDescent="0.25">
      <c r="A52" s="5" t="str">
        <v>VW 2.7 PERP nc-22</v>
      </c>
      <c r="B52" s="8">
        <v>44909</v>
      </c>
      <c r="C52" s="17">
        <f ca="1"/>
        <v>2.4493150684931506</v>
      </c>
      <c r="D52" s="5" t="str">
        <v>XS1629658755</v>
      </c>
      <c r="E52" s="5" t="str">
        <v>BBB-</v>
      </c>
      <c r="F52" s="18">
        <v>383.53513235657351</v>
      </c>
    </row>
    <row r="53" spans="1:6" x14ac:dyDescent="0.25">
      <c r="A53" s="5" t="str">
        <v>ENGIFP 1 3/8 PERP nc-23</v>
      </c>
      <c r="B53" s="8">
        <v>44942</v>
      </c>
      <c r="C53" s="17">
        <f ca="1"/>
        <v>2.5397260273972604</v>
      </c>
      <c r="D53" s="5" t="str">
        <v>FR0013310505</v>
      </c>
      <c r="E53" s="5" t="str">
        <v>BBB</v>
      </c>
      <c r="F53" s="18">
        <v>260.66702941605723</v>
      </c>
    </row>
    <row r="54" spans="1:6" x14ac:dyDescent="0.25">
      <c r="A54" s="5" t="str">
        <v>ARNDTN 3 3/4 PERP nc-23</v>
      </c>
      <c r="B54" s="8">
        <v>44946</v>
      </c>
      <c r="C54" s="17">
        <f ca="1"/>
        <v>2.5506849315068494</v>
      </c>
      <c r="D54" s="5" t="str">
        <v>XS1508392625</v>
      </c>
      <c r="E54" s="5" t="str">
        <v>NR</v>
      </c>
      <c r="F54" s="18">
        <v>431.89353147084881</v>
      </c>
    </row>
    <row r="55" spans="1:6" x14ac:dyDescent="0.25">
      <c r="A55" s="5" t="str">
        <v>GYCGR 2 3/4 PERP nc-23</v>
      </c>
      <c r="B55" s="8">
        <v>44948</v>
      </c>
      <c r="C55" s="17">
        <f ca="1"/>
        <v>2.5561643835616437</v>
      </c>
      <c r="D55" s="5" t="str">
        <v>XS1491364953</v>
      </c>
      <c r="E55" s="5" t="str">
        <v>BBB-</v>
      </c>
      <c r="F55" s="18">
        <v>321.01490110266508</v>
      </c>
    </row>
    <row r="56" spans="1:6" x14ac:dyDescent="0.25">
      <c r="B56" s="8"/>
      <c r="C56" s="17"/>
      <c r="F56" s="18"/>
    </row>
    <row r="57" spans="1:6" x14ac:dyDescent="0.25">
      <c r="B57" s="8"/>
      <c r="C57" s="17"/>
      <c r="F57" s="18"/>
    </row>
    <row r="58" spans="1:6" x14ac:dyDescent="0.25">
      <c r="B58" s="8"/>
      <c r="C58" s="17"/>
      <c r="F58" s="18"/>
    </row>
    <row r="59" spans="1:6" x14ac:dyDescent="0.25">
      <c r="B59" s="8"/>
      <c r="C59" s="17"/>
      <c r="F59" s="18"/>
    </row>
    <row r="60" spans="1:6" x14ac:dyDescent="0.25">
      <c r="A60" s="5" t="s">
        <v>453</v>
      </c>
      <c r="B60" s="8"/>
      <c r="C60" s="17"/>
      <c r="F60" s="18"/>
    </row>
    <row r="61" spans="1:6" x14ac:dyDescent="0.25">
      <c r="B61" s="8"/>
      <c r="C61" s="17"/>
      <c r="F61" s="18"/>
    </row>
    <row r="62" spans="1:6" x14ac:dyDescent="0.25">
      <c r="B62" s="8"/>
      <c r="C62" s="17"/>
      <c r="F62" s="18"/>
    </row>
    <row r="63" spans="1:6" x14ac:dyDescent="0.25">
      <c r="B63" s="8"/>
      <c r="C63" s="17"/>
      <c r="F63" s="18"/>
    </row>
    <row r="64" spans="1:6" x14ac:dyDescent="0.25">
      <c r="B64" s="8"/>
      <c r="C64" s="17"/>
      <c r="F64" s="18"/>
    </row>
    <row r="65" spans="2:6" x14ac:dyDescent="0.25">
      <c r="B65" s="8"/>
      <c r="C65" s="17"/>
      <c r="F65" s="18"/>
    </row>
    <row r="66" spans="2:6" x14ac:dyDescent="0.25">
      <c r="B66" s="8"/>
      <c r="C66" s="17"/>
      <c r="F66" s="18"/>
    </row>
    <row r="67" spans="2:6" x14ac:dyDescent="0.25">
      <c r="B67" s="8"/>
      <c r="C67" s="17"/>
      <c r="F67" s="18"/>
    </row>
    <row r="68" spans="2:6" x14ac:dyDescent="0.25">
      <c r="B68" s="8"/>
      <c r="C68" s="17"/>
      <c r="F68" s="18"/>
    </row>
    <row r="69" spans="2:6" x14ac:dyDescent="0.25">
      <c r="B69" s="8"/>
      <c r="C69" s="17"/>
      <c r="F69" s="18"/>
    </row>
    <row r="70" spans="2:6" x14ac:dyDescent="0.25">
      <c r="B70" s="8"/>
      <c r="C70" s="17"/>
      <c r="F70" s="18"/>
    </row>
    <row r="71" spans="2:6" x14ac:dyDescent="0.25">
      <c r="B71" s="8"/>
      <c r="C71" s="17"/>
      <c r="F71" s="18"/>
    </row>
    <row r="72" spans="2:6" x14ac:dyDescent="0.25">
      <c r="B72" s="8"/>
      <c r="C72" s="17"/>
      <c r="F72" s="18"/>
    </row>
    <row r="73" spans="2:6" x14ac:dyDescent="0.25">
      <c r="B73" s="8"/>
      <c r="C73" s="17"/>
      <c r="F73" s="18"/>
    </row>
    <row r="74" spans="2:6" x14ac:dyDescent="0.25">
      <c r="B74" s="8"/>
      <c r="C74" s="17"/>
      <c r="F74" s="18"/>
    </row>
    <row r="75" spans="2:6" x14ac:dyDescent="0.25">
      <c r="B75" s="8"/>
      <c r="C75" s="17"/>
      <c r="F75" s="18"/>
    </row>
    <row r="76" spans="2:6" x14ac:dyDescent="0.25">
      <c r="B76" s="8"/>
      <c r="C76" s="17"/>
      <c r="F76" s="18"/>
    </row>
    <row r="77" spans="2:6" x14ac:dyDescent="0.25">
      <c r="B77" s="8"/>
      <c r="C77" s="17"/>
      <c r="F77" s="18"/>
    </row>
    <row r="78" spans="2:6" x14ac:dyDescent="0.25">
      <c r="B78" s="8"/>
      <c r="C78" s="17"/>
      <c r="F78" s="18"/>
    </row>
    <row r="79" spans="2:6" x14ac:dyDescent="0.25">
      <c r="B79" s="8"/>
      <c r="C79" s="17"/>
      <c r="F79" s="18"/>
    </row>
    <row r="80" spans="2:6" x14ac:dyDescent="0.25">
      <c r="B80" s="8"/>
      <c r="C80" s="17"/>
      <c r="F80" s="18"/>
    </row>
    <row r="81" spans="2:6" x14ac:dyDescent="0.25">
      <c r="B81" s="8"/>
      <c r="C81" s="17"/>
      <c r="F81" s="18"/>
    </row>
    <row r="82" spans="2:6" x14ac:dyDescent="0.25">
      <c r="B82" s="8"/>
      <c r="C82" s="17"/>
      <c r="F82" s="18"/>
    </row>
    <row r="83" spans="2:6" x14ac:dyDescent="0.25">
      <c r="B83" s="8"/>
      <c r="C83" s="17"/>
      <c r="F83" s="18"/>
    </row>
    <row r="84" spans="2:6" x14ac:dyDescent="0.25">
      <c r="B84" s="8"/>
      <c r="C84" s="17"/>
      <c r="F84" s="18"/>
    </row>
    <row r="85" spans="2:6" x14ac:dyDescent="0.25">
      <c r="B85" s="8"/>
      <c r="C85" s="17"/>
      <c r="F85" s="18"/>
    </row>
    <row r="86" spans="2:6" x14ac:dyDescent="0.25">
      <c r="B86" s="8"/>
      <c r="C86" s="17"/>
      <c r="F86" s="18"/>
    </row>
    <row r="87" spans="2:6" x14ac:dyDescent="0.25">
      <c r="B87" s="8"/>
      <c r="C87" s="17"/>
      <c r="F87" s="18"/>
    </row>
    <row r="88" spans="2:6" x14ac:dyDescent="0.25">
      <c r="B88" s="8"/>
      <c r="C88" s="17"/>
      <c r="F88" s="18"/>
    </row>
    <row r="89" spans="2:6" x14ac:dyDescent="0.25">
      <c r="B89" s="8"/>
      <c r="C89" s="17"/>
      <c r="F89" s="18"/>
    </row>
    <row r="90" spans="2:6" x14ac:dyDescent="0.25">
      <c r="B90" s="8"/>
      <c r="C90" s="17"/>
      <c r="F90" s="18"/>
    </row>
    <row r="91" spans="2:6" x14ac:dyDescent="0.25">
      <c r="B91" s="8"/>
      <c r="C91" s="17"/>
      <c r="F91" s="18"/>
    </row>
    <row r="92" spans="2:6" x14ac:dyDescent="0.25">
      <c r="B92" s="8"/>
      <c r="C92" s="17"/>
      <c r="F92" s="18"/>
    </row>
    <row r="93" spans="2:6" x14ac:dyDescent="0.25">
      <c r="B93" s="8"/>
      <c r="C93" s="17"/>
      <c r="F93" s="18"/>
    </row>
    <row r="94" spans="2:6" x14ac:dyDescent="0.25">
      <c r="B94" s="8"/>
      <c r="C94" s="17"/>
      <c r="F94" s="18"/>
    </row>
    <row r="95" spans="2:6" x14ac:dyDescent="0.25">
      <c r="B95" s="8"/>
      <c r="C95" s="17"/>
      <c r="F95" s="18"/>
    </row>
    <row r="96" spans="2:6" x14ac:dyDescent="0.25">
      <c r="B96" s="8"/>
      <c r="C96" s="17"/>
      <c r="F96" s="18"/>
    </row>
    <row r="97" spans="2:6" x14ac:dyDescent="0.25">
      <c r="B97" s="8"/>
      <c r="C97" s="17"/>
      <c r="F97" s="18"/>
    </row>
    <row r="98" spans="2:6" x14ac:dyDescent="0.25">
      <c r="B98" s="8"/>
      <c r="C98" s="17"/>
      <c r="F98" s="18"/>
    </row>
    <row r="99" spans="2:6" x14ac:dyDescent="0.25">
      <c r="B99" s="8"/>
      <c r="C99" s="17"/>
      <c r="F99" s="18"/>
    </row>
    <row r="100" spans="2:6" x14ac:dyDescent="0.25">
      <c r="B100" s="8"/>
      <c r="C100" s="17"/>
      <c r="F100" s="18"/>
    </row>
    <row r="101" spans="2:6" x14ac:dyDescent="0.25">
      <c r="B101" s="8"/>
      <c r="C101" s="17"/>
      <c r="F101" s="18"/>
    </row>
    <row r="102" spans="2:6" x14ac:dyDescent="0.25">
      <c r="B102" s="8"/>
      <c r="C102" s="17"/>
      <c r="F102" s="18"/>
    </row>
    <row r="103" spans="2:6" x14ac:dyDescent="0.25">
      <c r="B103" s="8"/>
      <c r="C103" s="17"/>
      <c r="F103" s="18"/>
    </row>
    <row r="104" spans="2:6" x14ac:dyDescent="0.25">
      <c r="B104" s="8"/>
      <c r="C104" s="17"/>
      <c r="F104" s="18"/>
    </row>
    <row r="105" spans="2:6" x14ac:dyDescent="0.25">
      <c r="B105" s="8"/>
      <c r="C105" s="17"/>
      <c r="F105" s="18"/>
    </row>
    <row r="106" spans="2:6" x14ac:dyDescent="0.25">
      <c r="B106" s="8"/>
      <c r="C106" s="17"/>
      <c r="F106" s="18"/>
    </row>
    <row r="107" spans="2:6" x14ac:dyDescent="0.25">
      <c r="B107" s="8"/>
      <c r="C107" s="17"/>
      <c r="F107" s="18"/>
    </row>
    <row r="108" spans="2:6" x14ac:dyDescent="0.25">
      <c r="B108" s="8"/>
      <c r="C108" s="17"/>
      <c r="F108" s="18"/>
    </row>
    <row r="109" spans="2:6" x14ac:dyDescent="0.25">
      <c r="B109" s="8"/>
      <c r="C109" s="17"/>
      <c r="F109" s="18"/>
    </row>
    <row r="110" spans="2:6" x14ac:dyDescent="0.25">
      <c r="B110" s="8"/>
      <c r="C110" s="17"/>
      <c r="F110" s="18"/>
    </row>
    <row r="111" spans="2:6" x14ac:dyDescent="0.25">
      <c r="B111" s="8"/>
      <c r="C111" s="17"/>
      <c r="F111" s="18"/>
    </row>
    <row r="112" spans="2:6" x14ac:dyDescent="0.25">
      <c r="B112" s="8"/>
      <c r="C112" s="17"/>
      <c r="F112" s="18"/>
    </row>
    <row r="113" spans="2:6" x14ac:dyDescent="0.25">
      <c r="B113" s="8"/>
      <c r="C113" s="17"/>
      <c r="F113" s="18"/>
    </row>
    <row r="114" spans="2:6" x14ac:dyDescent="0.25">
      <c r="B114" s="8"/>
      <c r="C114" s="17"/>
      <c r="F114" s="18"/>
    </row>
    <row r="115" spans="2:6" x14ac:dyDescent="0.25">
      <c r="B115" s="8"/>
      <c r="C115" s="17"/>
      <c r="F115" s="18"/>
    </row>
    <row r="116" spans="2:6" x14ac:dyDescent="0.25">
      <c r="B116" s="8"/>
      <c r="C116" s="17"/>
      <c r="F116" s="18"/>
    </row>
    <row r="117" spans="2:6" x14ac:dyDescent="0.25">
      <c r="B117" s="8"/>
      <c r="C117" s="17"/>
      <c r="F117" s="18"/>
    </row>
    <row r="118" spans="2:6" x14ac:dyDescent="0.25">
      <c r="B118" s="8"/>
      <c r="C118" s="17"/>
      <c r="F118" s="18"/>
    </row>
    <row r="119" spans="2:6" x14ac:dyDescent="0.25">
      <c r="B119" s="8"/>
      <c r="C119" s="17"/>
      <c r="F119" s="18"/>
    </row>
    <row r="120" spans="2:6" x14ac:dyDescent="0.25">
      <c r="B120" s="8"/>
      <c r="C120" s="17"/>
      <c r="F120" s="18"/>
    </row>
    <row r="121" spans="2:6" x14ac:dyDescent="0.25">
      <c r="B121" s="8"/>
      <c r="C121" s="17"/>
      <c r="F121" s="18"/>
    </row>
    <row r="122" spans="2:6" x14ac:dyDescent="0.25">
      <c r="B122" s="8"/>
      <c r="C122" s="17"/>
      <c r="F122" s="18"/>
    </row>
    <row r="123" spans="2:6" x14ac:dyDescent="0.25">
      <c r="B123" s="8"/>
      <c r="C123" s="17"/>
      <c r="F123" s="18"/>
    </row>
    <row r="124" spans="2:6" x14ac:dyDescent="0.25">
      <c r="B124" s="8"/>
      <c r="C124" s="17"/>
      <c r="F124" s="18"/>
    </row>
    <row r="125" spans="2:6" x14ac:dyDescent="0.25">
      <c r="B125" s="8"/>
      <c r="C125" s="17"/>
      <c r="F125" s="18"/>
    </row>
    <row r="126" spans="2:6" x14ac:dyDescent="0.25">
      <c r="B126" s="8"/>
      <c r="C126" s="17"/>
      <c r="F126" s="18"/>
    </row>
    <row r="127" spans="2:6" x14ac:dyDescent="0.25">
      <c r="B127" s="8"/>
      <c r="C127" s="17"/>
      <c r="F127" s="18"/>
    </row>
    <row r="128" spans="2:6" x14ac:dyDescent="0.25">
      <c r="B128" s="8"/>
      <c r="C128" s="17"/>
      <c r="F128" s="18"/>
    </row>
    <row r="129" spans="2:6" x14ac:dyDescent="0.25">
      <c r="B129" s="8"/>
      <c r="C129" s="17"/>
      <c r="F129" s="18"/>
    </row>
    <row r="130" spans="2:6" x14ac:dyDescent="0.25">
      <c r="B130" s="8"/>
      <c r="C130" s="17"/>
      <c r="F130" s="18"/>
    </row>
    <row r="131" spans="2:6" x14ac:dyDescent="0.25">
      <c r="B131" s="8"/>
      <c r="C131" s="17"/>
      <c r="F131" s="18"/>
    </row>
    <row r="132" spans="2:6" x14ac:dyDescent="0.25">
      <c r="B132" s="8"/>
      <c r="C132" s="17"/>
      <c r="F132" s="18"/>
    </row>
    <row r="133" spans="2:6" x14ac:dyDescent="0.25">
      <c r="B133" s="8"/>
      <c r="C133" s="17"/>
      <c r="F133" s="18"/>
    </row>
    <row r="134" spans="2:6" x14ac:dyDescent="0.25">
      <c r="B134" s="8"/>
      <c r="C134" s="17"/>
      <c r="F134" s="18"/>
    </row>
    <row r="135" spans="2:6" x14ac:dyDescent="0.25">
      <c r="B135" s="8"/>
      <c r="C135" s="17"/>
      <c r="F135" s="18"/>
    </row>
    <row r="136" spans="2:6" x14ac:dyDescent="0.25">
      <c r="B136" s="8"/>
      <c r="C136" s="17"/>
      <c r="F136" s="18"/>
    </row>
    <row r="137" spans="2:6" x14ac:dyDescent="0.25">
      <c r="B137" s="8"/>
      <c r="C137" s="17"/>
      <c r="F137" s="18"/>
    </row>
    <row r="138" spans="2:6" x14ac:dyDescent="0.25">
      <c r="B138" s="8"/>
      <c r="C138" s="17"/>
      <c r="F138" s="18"/>
    </row>
    <row r="139" spans="2:6" x14ac:dyDescent="0.25">
      <c r="B139" s="8"/>
      <c r="C139" s="17"/>
      <c r="F139" s="18"/>
    </row>
    <row r="140" spans="2:6" x14ac:dyDescent="0.25">
      <c r="B140" s="8"/>
      <c r="C140" s="17"/>
      <c r="F140" s="18"/>
    </row>
    <row r="141" spans="2:6" x14ac:dyDescent="0.25">
      <c r="B141" s="8"/>
      <c r="C141" s="17"/>
      <c r="F141" s="18"/>
    </row>
    <row r="142" spans="2:6" x14ac:dyDescent="0.25">
      <c r="B142" s="8"/>
      <c r="C142" s="17"/>
      <c r="F142" s="18"/>
    </row>
    <row r="143" spans="2:6" x14ac:dyDescent="0.25">
      <c r="B143" s="8"/>
      <c r="C143" s="17"/>
      <c r="F143" s="18"/>
    </row>
    <row r="144" spans="2:6" x14ac:dyDescent="0.25">
      <c r="B144" s="8"/>
      <c r="C144" s="17"/>
      <c r="F144" s="18"/>
    </row>
    <row r="145" spans="2:6" x14ac:dyDescent="0.25">
      <c r="B145" s="8"/>
      <c r="C145" s="17"/>
      <c r="F145" s="18"/>
    </row>
    <row r="146" spans="2:6" x14ac:dyDescent="0.25">
      <c r="B146" s="8"/>
      <c r="C146" s="17"/>
      <c r="F146" s="18"/>
    </row>
    <row r="147" spans="2:6" x14ac:dyDescent="0.25">
      <c r="B147" s="8"/>
      <c r="C147" s="17"/>
      <c r="F147" s="18"/>
    </row>
    <row r="148" spans="2:6" x14ac:dyDescent="0.25">
      <c r="B148" s="8"/>
      <c r="C148" s="17"/>
      <c r="F148" s="18"/>
    </row>
    <row r="149" spans="2:6" x14ac:dyDescent="0.25">
      <c r="B149" s="8"/>
      <c r="C149" s="17"/>
      <c r="F149" s="18"/>
    </row>
    <row r="150" spans="2:6" x14ac:dyDescent="0.25">
      <c r="B150" s="8"/>
      <c r="C150" s="17"/>
      <c r="F150" s="18"/>
    </row>
    <row r="151" spans="2:6" x14ac:dyDescent="0.25">
      <c r="B151" s="8"/>
      <c r="C151" s="17"/>
      <c r="F151" s="18"/>
    </row>
    <row r="152" spans="2:6" x14ac:dyDescent="0.25">
      <c r="B152" s="8"/>
      <c r="C152" s="17"/>
      <c r="F152" s="18"/>
    </row>
    <row r="153" spans="2:6" x14ac:dyDescent="0.25">
      <c r="B153" s="8"/>
      <c r="C153" s="17"/>
      <c r="F153" s="18"/>
    </row>
    <row r="154" spans="2:6" x14ac:dyDescent="0.25">
      <c r="B154" s="8"/>
      <c r="C154" s="17"/>
      <c r="F154" s="18"/>
    </row>
    <row r="155" spans="2:6" x14ac:dyDescent="0.25">
      <c r="B155" s="8"/>
      <c r="C155" s="17"/>
      <c r="F155" s="18"/>
    </row>
    <row r="156" spans="2:6" x14ac:dyDescent="0.25">
      <c r="B156" s="8"/>
      <c r="C156" s="17"/>
      <c r="F156" s="18"/>
    </row>
    <row r="157" spans="2:6" x14ac:dyDescent="0.25">
      <c r="B157" s="8"/>
      <c r="C157" s="17"/>
      <c r="F157" s="18"/>
    </row>
    <row r="158" spans="2:6" x14ac:dyDescent="0.25">
      <c r="B158" s="8"/>
      <c r="C158" s="17"/>
      <c r="F158" s="18"/>
    </row>
    <row r="159" spans="2:6" x14ac:dyDescent="0.25">
      <c r="B159" s="8"/>
      <c r="C159" s="17"/>
      <c r="F159" s="18"/>
    </row>
    <row r="160" spans="2:6" x14ac:dyDescent="0.25">
      <c r="B160" s="8"/>
      <c r="C160" s="17"/>
      <c r="F160" s="18"/>
    </row>
    <row r="161" spans="2:6" x14ac:dyDescent="0.25">
      <c r="B161" s="8"/>
      <c r="C161" s="17"/>
      <c r="F161" s="18"/>
    </row>
    <row r="162" spans="2:6" x14ac:dyDescent="0.25">
      <c r="B162" s="8"/>
      <c r="C162" s="17"/>
      <c r="F162" s="18"/>
    </row>
    <row r="163" spans="2:6" x14ac:dyDescent="0.25">
      <c r="B163" s="8"/>
      <c r="C163" s="17"/>
      <c r="F163" s="18"/>
    </row>
    <row r="164" spans="2:6" x14ac:dyDescent="0.25">
      <c r="B164" s="8"/>
      <c r="C164" s="17"/>
      <c r="F164" s="18"/>
    </row>
    <row r="165" spans="2:6" x14ac:dyDescent="0.25">
      <c r="B165" s="8"/>
      <c r="C165" s="17"/>
      <c r="F165" s="18"/>
    </row>
    <row r="166" spans="2:6" x14ac:dyDescent="0.25">
      <c r="B166" s="8"/>
      <c r="C166" s="17"/>
      <c r="F166" s="18"/>
    </row>
    <row r="167" spans="2:6" x14ac:dyDescent="0.25">
      <c r="B167" s="8"/>
      <c r="C167" s="17"/>
      <c r="F167" s="18"/>
    </row>
    <row r="168" spans="2:6" x14ac:dyDescent="0.25">
      <c r="B168" s="8"/>
      <c r="C168" s="17"/>
      <c r="F168" s="18"/>
    </row>
    <row r="169" spans="2:6" x14ac:dyDescent="0.25">
      <c r="B169" s="8"/>
      <c r="C169" s="17"/>
      <c r="F169" s="18"/>
    </row>
    <row r="170" spans="2:6" x14ac:dyDescent="0.25">
      <c r="B170" s="8"/>
      <c r="C170" s="17"/>
      <c r="F170" s="18"/>
    </row>
    <row r="171" spans="2:6" x14ac:dyDescent="0.25">
      <c r="B171" s="8"/>
      <c r="C171" s="17"/>
      <c r="F171" s="18"/>
    </row>
    <row r="172" spans="2:6" x14ac:dyDescent="0.25">
      <c r="B172" s="8"/>
      <c r="C172" s="17"/>
      <c r="F172" s="18"/>
    </row>
    <row r="173" spans="2:6" x14ac:dyDescent="0.25">
      <c r="B173" s="8"/>
      <c r="C173" s="17"/>
      <c r="F173" s="18"/>
    </row>
    <row r="174" spans="2:6" x14ac:dyDescent="0.25">
      <c r="B174" s="8"/>
      <c r="C174" s="17"/>
      <c r="F174" s="18"/>
    </row>
    <row r="175" spans="2:6" x14ac:dyDescent="0.25">
      <c r="B175" s="8"/>
      <c r="C175" s="17"/>
      <c r="F175" s="18"/>
    </row>
    <row r="176" spans="2:6" x14ac:dyDescent="0.25">
      <c r="B176" s="8"/>
      <c r="C176" s="17"/>
      <c r="F176" s="18"/>
    </row>
    <row r="177" spans="2:6" x14ac:dyDescent="0.25">
      <c r="B177" s="8"/>
      <c r="C177" s="17"/>
      <c r="F177" s="18"/>
    </row>
    <row r="178" spans="2:6" x14ac:dyDescent="0.25">
      <c r="B178" s="8"/>
      <c r="C178" s="17"/>
      <c r="F178" s="18"/>
    </row>
    <row r="179" spans="2:6" x14ac:dyDescent="0.25">
      <c r="B179" s="8"/>
      <c r="C179" s="17"/>
      <c r="F179" s="18"/>
    </row>
    <row r="180" spans="2:6" x14ac:dyDescent="0.25">
      <c r="B180" s="8"/>
      <c r="C180" s="17"/>
      <c r="F180" s="18"/>
    </row>
    <row r="181" spans="2:6" x14ac:dyDescent="0.25">
      <c r="B181" s="8"/>
      <c r="C181" s="17"/>
      <c r="F181" s="18"/>
    </row>
    <row r="182" spans="2:6" x14ac:dyDescent="0.25">
      <c r="B182" s="8"/>
      <c r="C182" s="17"/>
      <c r="F182" s="18"/>
    </row>
    <row r="183" spans="2:6" x14ac:dyDescent="0.25">
      <c r="B183" s="8"/>
      <c r="C183" s="17"/>
      <c r="F183" s="18"/>
    </row>
    <row r="184" spans="2:6" x14ac:dyDescent="0.25">
      <c r="B184" s="8"/>
      <c r="C184" s="17"/>
      <c r="F184" s="18"/>
    </row>
    <row r="185" spans="2:6" x14ac:dyDescent="0.25">
      <c r="B185" s="8"/>
      <c r="C185" s="17"/>
      <c r="F185" s="18"/>
    </row>
    <row r="186" spans="2:6" x14ac:dyDescent="0.25">
      <c r="B186" s="8"/>
      <c r="C186" s="17"/>
      <c r="F186" s="18"/>
    </row>
    <row r="187" spans="2:6" x14ac:dyDescent="0.25">
      <c r="B187" s="8"/>
      <c r="C187" s="17"/>
      <c r="F187" s="18"/>
    </row>
    <row r="188" spans="2:6" x14ac:dyDescent="0.25">
      <c r="B188" s="8"/>
      <c r="C188" s="17"/>
      <c r="F188" s="18"/>
    </row>
    <row r="189" spans="2:6" x14ac:dyDescent="0.25">
      <c r="B189" s="8"/>
      <c r="C189" s="17"/>
      <c r="F189" s="18"/>
    </row>
    <row r="190" spans="2:6" x14ac:dyDescent="0.25">
      <c r="B190" s="8"/>
      <c r="C190" s="17"/>
      <c r="F190" s="18"/>
    </row>
    <row r="191" spans="2:6" x14ac:dyDescent="0.25">
      <c r="B191" s="8"/>
      <c r="C191" s="17"/>
      <c r="F191" s="18"/>
    </row>
    <row r="192" spans="2:6" x14ac:dyDescent="0.25">
      <c r="B192" s="8"/>
      <c r="C192" s="17"/>
      <c r="F192" s="18"/>
    </row>
    <row r="193" spans="2:6" x14ac:dyDescent="0.25">
      <c r="B193" s="8"/>
      <c r="C193" s="17"/>
      <c r="F193" s="18"/>
    </row>
    <row r="194" spans="2:6" x14ac:dyDescent="0.25">
      <c r="B194" s="8"/>
      <c r="C194" s="17"/>
      <c r="F194" s="18"/>
    </row>
    <row r="195" spans="2:6" x14ac:dyDescent="0.25">
      <c r="B195" s="8"/>
      <c r="C195" s="17"/>
      <c r="F195" s="18"/>
    </row>
    <row r="196" spans="2:6" x14ac:dyDescent="0.25">
      <c r="B196" s="8"/>
      <c r="C196" s="17"/>
      <c r="F196" s="18"/>
    </row>
    <row r="197" spans="2:6" x14ac:dyDescent="0.25">
      <c r="B197" s="8"/>
      <c r="C197" s="17"/>
      <c r="F197" s="18"/>
    </row>
    <row r="198" spans="2:6" x14ac:dyDescent="0.25">
      <c r="B198" s="8"/>
      <c r="C198" s="17"/>
      <c r="F198" s="18"/>
    </row>
  </sheetData>
  <conditionalFormatting sqref="C6:C198">
    <cfRule type="iconSet" priority="2">
      <iconSet>
        <cfvo type="percent" val="0"/>
        <cfvo type="num" val="0.9"/>
        <cfvo type="num" val="1.25"/>
      </iconSet>
    </cfRule>
  </conditionalFormatting>
  <conditionalFormatting sqref="F6:F198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{C87A6ACB-F511-4224-892F-259AA5C98B3D}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87A6ACB-F511-4224-892F-259AA5C98B3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F6:F198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chart</vt:lpstr>
      <vt:lpstr>issuerTable</vt:lpstr>
      <vt:lpstr>issuerOP</vt:lpstr>
      <vt:lpstr>sectorTable</vt:lpstr>
      <vt:lpstr>sectorOP</vt:lpstr>
      <vt:lpstr>tkrBBG</vt:lpstr>
      <vt:lpstr>issuers</vt:lpstr>
      <vt:lpstr>maturity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darren</dc:creator>
  <cp:keywords/>
  <dc:description/>
  <cp:lastModifiedBy>Darren Lefcoe</cp:lastModifiedBy>
  <cp:revision/>
  <cp:lastPrinted>2020-07-03T07:02:17Z</cp:lastPrinted>
  <dcterms:created xsi:type="dcterms:W3CDTF">2015-06-05T18:17:20Z</dcterms:created>
  <dcterms:modified xsi:type="dcterms:W3CDTF">2020-07-03T11:23:29Z</dcterms:modified>
  <cp:category/>
  <cp:contentStatus/>
</cp:coreProperties>
</file>