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GERENCIAL\"/>
    </mc:Choice>
  </mc:AlternateContent>
  <xr:revisionPtr revIDLastSave="0" documentId="13_ncr:1_{2CB9E39F-4272-439E-BC50-1B9C6E5BB4AD}" xr6:coauthVersionLast="47" xr6:coauthVersionMax="47" xr10:uidLastSave="{00000000-0000-0000-0000-000000000000}"/>
  <bookViews>
    <workbookView xWindow="-90" yWindow="0" windowWidth="9780" windowHeight="10170" firstSheet="16" activeTab="18" xr2:uid="{00000000-000D-0000-FFFF-FFFF00000000}"/>
  </bookViews>
  <sheets>
    <sheet name="CARATULA" sheetId="1" r:id="rId1"/>
    <sheet name="Consultar" sheetId="6" r:id="rId2"/>
    <sheet name="DATOS CENTRALES" sheetId="2" r:id="rId3"/>
    <sheet name="DB_Ventas" sheetId="3" r:id="rId4"/>
    <sheet name="Consolidados x MINERA" sheetId="4" r:id="rId5"/>
    <sheet name="TABLA DINAMICA METALES" sheetId="23" r:id="rId6"/>
    <sheet name="Consolidado x metales" sheetId="5" r:id="rId7"/>
    <sheet name="ESCENARIO DE ORO" sheetId="14" r:id="rId8"/>
    <sheet name="Resumen del escenario" sheetId="26" r:id="rId9"/>
    <sheet name="Tabla dinámica del escenario" sheetId="27" r:id="rId10"/>
    <sheet name="ANALISIS CVU" sheetId="9" r:id="rId11"/>
    <sheet name="PUNTO DE EQUILIBRIO" sheetId="22" r:id="rId12"/>
    <sheet name="BD PESTEL" sheetId="28" r:id="rId13"/>
    <sheet name="PRM_Maestro" sheetId="29" r:id="rId14"/>
    <sheet name="BCG_Historica" sheetId="31" r:id="rId15"/>
    <sheet name="Parametros_BCG" sheetId="32" r:id="rId16"/>
    <sheet name="TCM_Maestro" sheetId="30" r:id="rId17"/>
    <sheet name="Base_FODA" sheetId="33" r:id="rId18"/>
    <sheet name="Notas" sheetId="34" r:id="rId19"/>
  </sheets>
  <externalReferences>
    <externalReference r:id="rId20"/>
    <externalReference r:id="rId21"/>
  </externalReferences>
  <definedNames>
    <definedName name="_xlnm._FilterDatabase" localSheetId="17" hidden="1">Base_FODA!$A$1:$J$62</definedName>
    <definedName name="_xlnm._FilterDatabase" localSheetId="14" hidden="1">BCG_Historica!$A$1:$G$36</definedName>
    <definedName name="_xlnm._FilterDatabase" localSheetId="12" hidden="1">'BD PESTEL'!$A$1:$E$144</definedName>
    <definedName name="_xlnm._FilterDatabase" localSheetId="18" hidden="1">Notas!$A$1:$B$10</definedName>
    <definedName name="_xlnm._FilterDatabase" localSheetId="15" hidden="1">Parametros_BCG!$A$1:$C$7</definedName>
    <definedName name="_xlnm._FilterDatabase" localSheetId="13" hidden="1">PRM_Maestro!$A$1:$I$6</definedName>
    <definedName name="_xlnm._FilterDatabase" localSheetId="16" hidden="1">TCM_Maestro!$A$1:$I$6</definedName>
    <definedName name="_xlcn.LinkedTable_Tabla11" hidden="1">Tabla1[]</definedName>
    <definedName name="_xlcn.LinkedTable_Tabla51" hidden="1">Tabla5[]</definedName>
    <definedName name="solver_eng" localSheetId="3" hidden="1">1</definedName>
    <definedName name="solver_lin" localSheetId="3" hidden="1">2</definedName>
    <definedName name="solver_neg" localSheetId="3" hidden="1">1</definedName>
    <definedName name="solver_num" localSheetId="3" hidden="1">0</definedName>
    <definedName name="solver_opt" localSheetId="3" hidden="1">DB_Ventas!$A$3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 iterateDelta="1E-4"/>
  <pivotCaches>
    <pivotCache cacheId="0" r:id="rId22"/>
    <pivotCache cacheId="1" r:id="rId23"/>
    <pivotCache cacheId="2" r:id="rId24"/>
  </pivotCaches>
  <extLst>
    <ext xmlns:x15="http://schemas.microsoft.com/office/spreadsheetml/2010/11/main" uri="{FCE2AD5D-F65C-4FA6-A056-5C36A1767C68}">
      <x15:dataModel>
        <x15:modelTables>
          <x15:modelTable id="Tabla5" name="Tabla5" connection="LinkedTable_Tabla5"/>
          <x15:modelTable id="Tabla1" name="Tabla1" connection="LinkedTable_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22" l="1" a="1"/>
  <c r="B15" i="22" s="1"/>
  <c r="B19" i="22" s="1"/>
  <c r="A19" i="27"/>
  <c r="C48" i="14"/>
  <c r="C18" i="14"/>
  <c r="C14" i="14"/>
  <c r="B14" i="14"/>
  <c r="C13" i="14"/>
  <c r="B13" i="14"/>
  <c r="F9" i="14"/>
  <c r="F8" i="14"/>
  <c r="D8" i="14"/>
  <c r="C15" i="14" s="1"/>
  <c r="H17" i="5"/>
  <c r="H16" i="5"/>
  <c r="H15" i="5"/>
  <c r="H14" i="5"/>
  <c r="H13" i="5"/>
  <c r="G12" i="4"/>
  <c r="I8" i="4" s="1"/>
  <c r="F12" i="4"/>
  <c r="H8" i="4" s="1"/>
  <c r="G71" i="3"/>
  <c r="H71" i="3" s="1"/>
  <c r="F71" i="3"/>
  <c r="G70" i="3"/>
  <c r="H70" i="3" s="1"/>
  <c r="F70" i="3"/>
  <c r="G69" i="3"/>
  <c r="H69" i="3" s="1"/>
  <c r="F69" i="3"/>
  <c r="G68" i="3"/>
  <c r="H68" i="3" s="1"/>
  <c r="F68" i="3"/>
  <c r="G67" i="3"/>
  <c r="H67" i="3" s="1"/>
  <c r="F67" i="3"/>
  <c r="G66" i="3"/>
  <c r="H66" i="3" s="1"/>
  <c r="F66" i="3"/>
  <c r="G65" i="3"/>
  <c r="H65" i="3" s="1"/>
  <c r="F65" i="3"/>
  <c r="G64" i="3"/>
  <c r="H64" i="3" s="1"/>
  <c r="F64" i="3"/>
  <c r="G63" i="3"/>
  <c r="H63" i="3" s="1"/>
  <c r="F63" i="3"/>
  <c r="G62" i="3"/>
  <c r="H62" i="3" s="1"/>
  <c r="F62" i="3"/>
  <c r="G61" i="3"/>
  <c r="H61" i="3" s="1"/>
  <c r="F61" i="3"/>
  <c r="G60" i="3"/>
  <c r="H60" i="3" s="1"/>
  <c r="F60" i="3"/>
  <c r="G59" i="3"/>
  <c r="H59" i="3" s="1"/>
  <c r="F59" i="3"/>
  <c r="G58" i="3"/>
  <c r="H58" i="3" s="1"/>
  <c r="F58" i="3"/>
  <c r="G57" i="3"/>
  <c r="H57" i="3" s="1"/>
  <c r="F57" i="3"/>
  <c r="G56" i="3"/>
  <c r="H56" i="3" s="1"/>
  <c r="F56" i="3"/>
  <c r="G55" i="3"/>
  <c r="H55" i="3" s="1"/>
  <c r="F55" i="3"/>
  <c r="G54" i="3"/>
  <c r="H54" i="3" s="1"/>
  <c r="F54" i="3"/>
  <c r="G53" i="3"/>
  <c r="H53" i="3" s="1"/>
  <c r="F53" i="3"/>
  <c r="G52" i="3"/>
  <c r="H52" i="3" s="1"/>
  <c r="F52" i="3"/>
  <c r="G51" i="3"/>
  <c r="H51" i="3" s="1"/>
  <c r="F51" i="3"/>
  <c r="G50" i="3"/>
  <c r="H50" i="3" s="1"/>
  <c r="F50" i="3"/>
  <c r="G49" i="3"/>
  <c r="H49" i="3" s="1"/>
  <c r="F49" i="3"/>
  <c r="G48" i="3"/>
  <c r="H48" i="3" s="1"/>
  <c r="F48" i="3"/>
  <c r="G47" i="3"/>
  <c r="H47" i="3" s="1"/>
  <c r="F47" i="3"/>
  <c r="G46" i="3"/>
  <c r="H46" i="3" s="1"/>
  <c r="F46" i="3"/>
  <c r="G45" i="3"/>
  <c r="H45" i="3" s="1"/>
  <c r="F45" i="3"/>
  <c r="G44" i="3"/>
  <c r="H44" i="3" s="1"/>
  <c r="F44" i="3"/>
  <c r="G43" i="3"/>
  <c r="H43" i="3" s="1"/>
  <c r="F43" i="3"/>
  <c r="G42" i="3"/>
  <c r="H42" i="3" s="1"/>
  <c r="F42" i="3"/>
  <c r="G41" i="3"/>
  <c r="H41" i="3" s="1"/>
  <c r="F41" i="3"/>
  <c r="G40" i="3"/>
  <c r="H40" i="3" s="1"/>
  <c r="F40" i="3"/>
  <c r="G39" i="3"/>
  <c r="H39" i="3" s="1"/>
  <c r="F39" i="3"/>
  <c r="G38" i="3"/>
  <c r="H38" i="3" s="1"/>
  <c r="F38" i="3"/>
  <c r="G37" i="3"/>
  <c r="H37" i="3" s="1"/>
  <c r="F37" i="3"/>
  <c r="G36" i="3"/>
  <c r="H36" i="3" s="1"/>
  <c r="F36" i="3"/>
  <c r="G35" i="3"/>
  <c r="H35" i="3" s="1"/>
  <c r="F35" i="3"/>
  <c r="G34" i="3"/>
  <c r="H34" i="3" s="1"/>
  <c r="F34" i="3"/>
  <c r="G33" i="3"/>
  <c r="H33" i="3" s="1"/>
  <c r="F33" i="3"/>
  <c r="G32" i="3"/>
  <c r="H32" i="3" s="1"/>
  <c r="F32" i="3"/>
  <c r="G31" i="3"/>
  <c r="H31" i="3" s="1"/>
  <c r="F31" i="3"/>
  <c r="G30" i="3"/>
  <c r="H30" i="3" s="1"/>
  <c r="F30" i="3"/>
  <c r="G29" i="3"/>
  <c r="H29" i="3" s="1"/>
  <c r="F29" i="3"/>
  <c r="G28" i="3"/>
  <c r="H28" i="3" s="1"/>
  <c r="F28" i="3"/>
  <c r="G27" i="3"/>
  <c r="H27" i="3" s="1"/>
  <c r="F27" i="3"/>
  <c r="G26" i="3"/>
  <c r="H26" i="3" s="1"/>
  <c r="F26" i="3"/>
  <c r="G25" i="3"/>
  <c r="H25" i="3" s="1"/>
  <c r="F25" i="3"/>
  <c r="G24" i="3"/>
  <c r="H24" i="3" s="1"/>
  <c r="F24" i="3"/>
  <c r="G23" i="3"/>
  <c r="H23" i="3" s="1"/>
  <c r="F23" i="3"/>
  <c r="G22" i="3"/>
  <c r="H22" i="3" s="1"/>
  <c r="F22" i="3"/>
  <c r="G21" i="3"/>
  <c r="H21" i="3" s="1"/>
  <c r="F21" i="3"/>
  <c r="G20" i="3"/>
  <c r="H20" i="3" s="1"/>
  <c r="F20" i="3"/>
  <c r="G19" i="3"/>
  <c r="H19" i="3" s="1"/>
  <c r="F19" i="3"/>
  <c r="G18" i="3"/>
  <c r="H18" i="3" s="1"/>
  <c r="F18" i="3"/>
  <c r="G17" i="3"/>
  <c r="H17" i="3" s="1"/>
  <c r="F17" i="3"/>
  <c r="G16" i="3"/>
  <c r="H16" i="3" s="1"/>
  <c r="F16" i="3"/>
  <c r="G15" i="3"/>
  <c r="H15" i="3" s="1"/>
  <c r="F15" i="3"/>
  <c r="G14" i="3"/>
  <c r="H14" i="3" s="1"/>
  <c r="F14" i="3"/>
  <c r="G13" i="3"/>
  <c r="H13" i="3" s="1"/>
  <c r="F13" i="3"/>
  <c r="G12" i="3"/>
  <c r="H12" i="3" s="1"/>
  <c r="F12" i="3"/>
  <c r="G11" i="3"/>
  <c r="H11" i="3" s="1"/>
  <c r="F11" i="3"/>
  <c r="G10" i="3"/>
  <c r="H10" i="3" s="1"/>
  <c r="F10" i="3"/>
  <c r="G9" i="3"/>
  <c r="H9" i="3" s="1"/>
  <c r="F9" i="3"/>
  <c r="G8" i="3"/>
  <c r="H8" i="3" s="1"/>
  <c r="F8" i="3"/>
  <c r="G7" i="3"/>
  <c r="H7" i="3" s="1"/>
  <c r="F7" i="3"/>
  <c r="G6" i="3"/>
  <c r="H6" i="3" s="1"/>
  <c r="F6" i="3"/>
  <c r="G5" i="3"/>
  <c r="H5" i="3" s="1"/>
  <c r="F5" i="3"/>
  <c r="G4" i="3"/>
  <c r="H4" i="3" s="1"/>
  <c r="F4" i="3"/>
  <c r="D12" i="6" s="1"/>
  <c r="C33" i="2"/>
  <c r="D32" i="2" s="1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D13" i="6"/>
  <c r="D11" i="6"/>
  <c r="D10" i="6"/>
  <c r="D9" i="6"/>
  <c r="D8" i="6"/>
  <c r="N4" i="3" l="1"/>
  <c r="B15" i="14"/>
  <c r="C17" i="14"/>
  <c r="I58" i="3"/>
  <c r="J58" i="3" s="1"/>
  <c r="L58" i="3" s="1"/>
  <c r="M58" i="3" s="1"/>
  <c r="I52" i="3"/>
  <c r="K52" i="3" s="1"/>
  <c r="D30" i="2"/>
  <c r="I10" i="3"/>
  <c r="J10" i="3" s="1"/>
  <c r="L10" i="3" s="1"/>
  <c r="M10" i="3" s="1"/>
  <c r="D31" i="2"/>
  <c r="I9" i="3"/>
  <c r="J9" i="3" s="1"/>
  <c r="L9" i="3" s="1"/>
  <c r="M9" i="3" s="1"/>
  <c r="F13" i="14"/>
  <c r="G13" i="14" s="1"/>
  <c r="I6" i="3"/>
  <c r="J6" i="3" s="1"/>
  <c r="L6" i="3" s="1"/>
  <c r="M6" i="3" s="1"/>
  <c r="D29" i="2"/>
  <c r="I5" i="3"/>
  <c r="J5" i="3" s="1"/>
  <c r="L5" i="3" s="1"/>
  <c r="M5" i="3" s="1"/>
  <c r="I9" i="4"/>
  <c r="I18" i="3"/>
  <c r="J18" i="3" s="1"/>
  <c r="L18" i="3" s="1"/>
  <c r="M18" i="3" s="1"/>
  <c r="I13" i="3"/>
  <c r="J13" i="3" s="1"/>
  <c r="L13" i="3" s="1"/>
  <c r="M13" i="3" s="1"/>
  <c r="I46" i="3"/>
  <c r="K46" i="3" s="1"/>
  <c r="I54" i="3"/>
  <c r="J54" i="3" s="1"/>
  <c r="L54" i="3" s="1"/>
  <c r="M54" i="3" s="1"/>
  <c r="I44" i="3"/>
  <c r="K44" i="3" s="1"/>
  <c r="I17" i="3"/>
  <c r="J17" i="3" s="1"/>
  <c r="L17" i="3" s="1"/>
  <c r="M17" i="3" s="1"/>
  <c r="I4" i="3"/>
  <c r="J4" i="3" s="1"/>
  <c r="D16" i="6" s="1"/>
  <c r="I8" i="3"/>
  <c r="J8" i="3" s="1"/>
  <c r="L8" i="3" s="1"/>
  <c r="M8" i="3" s="1"/>
  <c r="I12" i="3"/>
  <c r="J12" i="3" s="1"/>
  <c r="L12" i="3" s="1"/>
  <c r="M12" i="3" s="1"/>
  <c r="I16" i="3"/>
  <c r="J16" i="3" s="1"/>
  <c r="L16" i="3" s="1"/>
  <c r="M16" i="3" s="1"/>
  <c r="I20" i="3"/>
  <c r="J20" i="3" s="1"/>
  <c r="L20" i="3" s="1"/>
  <c r="M20" i="3" s="1"/>
  <c r="I24" i="3"/>
  <c r="J24" i="3" s="1"/>
  <c r="L24" i="3" s="1"/>
  <c r="M24" i="3" s="1"/>
  <c r="I28" i="3"/>
  <c r="J28" i="3" s="1"/>
  <c r="L28" i="3" s="1"/>
  <c r="M28" i="3" s="1"/>
  <c r="I32" i="3"/>
  <c r="J32" i="3" s="1"/>
  <c r="L32" i="3" s="1"/>
  <c r="M32" i="3" s="1"/>
  <c r="I48" i="3"/>
  <c r="K48" i="3" s="1"/>
  <c r="I56" i="3"/>
  <c r="J56" i="3" s="1"/>
  <c r="L56" i="3" s="1"/>
  <c r="M56" i="3" s="1"/>
  <c r="I6" i="4"/>
  <c r="I10" i="4"/>
  <c r="B17" i="14"/>
  <c r="F19" i="14" s="1"/>
  <c r="I14" i="3"/>
  <c r="J14" i="3" s="1"/>
  <c r="L14" i="3" s="1"/>
  <c r="M14" i="3" s="1"/>
  <c r="I22" i="3"/>
  <c r="J22" i="3" s="1"/>
  <c r="L22" i="3" s="1"/>
  <c r="M22" i="3" s="1"/>
  <c r="I26" i="3"/>
  <c r="J26" i="3" s="1"/>
  <c r="L26" i="3" s="1"/>
  <c r="M26" i="3" s="1"/>
  <c r="I30" i="3"/>
  <c r="J30" i="3" s="1"/>
  <c r="L30" i="3" s="1"/>
  <c r="M30" i="3" s="1"/>
  <c r="I21" i="3"/>
  <c r="J21" i="3" s="1"/>
  <c r="L21" i="3" s="1"/>
  <c r="M21" i="3" s="1"/>
  <c r="I25" i="3"/>
  <c r="J25" i="3" s="1"/>
  <c r="L25" i="3" s="1"/>
  <c r="M25" i="3" s="1"/>
  <c r="I29" i="3"/>
  <c r="J29" i="3" s="1"/>
  <c r="L29" i="3" s="1"/>
  <c r="M29" i="3" s="1"/>
  <c r="I33" i="3"/>
  <c r="J33" i="3" s="1"/>
  <c r="L33" i="3" s="1"/>
  <c r="M33" i="3" s="1"/>
  <c r="I7" i="3"/>
  <c r="J7" i="3" s="1"/>
  <c r="L7" i="3" s="1"/>
  <c r="M7" i="3" s="1"/>
  <c r="I11" i="3"/>
  <c r="J11" i="3" s="1"/>
  <c r="L11" i="3" s="1"/>
  <c r="M11" i="3" s="1"/>
  <c r="I15" i="3"/>
  <c r="J15" i="3" s="1"/>
  <c r="I19" i="3"/>
  <c r="J19" i="3" s="1"/>
  <c r="L19" i="3" s="1"/>
  <c r="M19" i="3" s="1"/>
  <c r="I23" i="3"/>
  <c r="J23" i="3" s="1"/>
  <c r="L23" i="3" s="1"/>
  <c r="M23" i="3" s="1"/>
  <c r="I27" i="3"/>
  <c r="J27" i="3" s="1"/>
  <c r="L27" i="3" s="1"/>
  <c r="M27" i="3" s="1"/>
  <c r="I31" i="3"/>
  <c r="J31" i="3" s="1"/>
  <c r="L31" i="3" s="1"/>
  <c r="M31" i="3" s="1"/>
  <c r="I50" i="3"/>
  <c r="J50" i="3" s="1"/>
  <c r="L50" i="3" s="1"/>
  <c r="M50" i="3" s="1"/>
  <c r="I7" i="4"/>
  <c r="I11" i="4"/>
  <c r="J8" i="4"/>
  <c r="J46" i="3"/>
  <c r="L46" i="3" s="1"/>
  <c r="M46" i="3" s="1"/>
  <c r="K54" i="3"/>
  <c r="N65" i="3"/>
  <c r="N68" i="3"/>
  <c r="N64" i="3"/>
  <c r="N71" i="3"/>
  <c r="N5" i="3"/>
  <c r="N7" i="3"/>
  <c r="N9" i="3"/>
  <c r="N11" i="3"/>
  <c r="N13" i="3"/>
  <c r="L15" i="3"/>
  <c r="M15" i="3" s="1"/>
  <c r="N15" i="3"/>
  <c r="N17" i="3"/>
  <c r="N19" i="3"/>
  <c r="N21" i="3"/>
  <c r="N23" i="3"/>
  <c r="N25" i="3"/>
  <c r="N27" i="3"/>
  <c r="N29" i="3"/>
  <c r="N31" i="3"/>
  <c r="N33" i="3"/>
  <c r="N62" i="3"/>
  <c r="N70" i="3"/>
  <c r="N34" i="3"/>
  <c r="N35" i="3"/>
  <c r="N61" i="3"/>
  <c r="N69" i="3"/>
  <c r="I70" i="3"/>
  <c r="I68" i="3"/>
  <c r="I66" i="3"/>
  <c r="I64" i="3"/>
  <c r="I62" i="3"/>
  <c r="I60" i="3"/>
  <c r="I71" i="3"/>
  <c r="J71" i="3" s="1"/>
  <c r="L71" i="3" s="1"/>
  <c r="M71" i="3" s="1"/>
  <c r="I69" i="3"/>
  <c r="J69" i="3" s="1"/>
  <c r="L69" i="3" s="1"/>
  <c r="M69" i="3" s="1"/>
  <c r="I67" i="3"/>
  <c r="J67" i="3" s="1"/>
  <c r="L67" i="3" s="1"/>
  <c r="M67" i="3" s="1"/>
  <c r="I65" i="3"/>
  <c r="J65" i="3" s="1"/>
  <c r="L65" i="3" s="1"/>
  <c r="M65" i="3" s="1"/>
  <c r="I63" i="3"/>
  <c r="J63" i="3" s="1"/>
  <c r="L63" i="3" s="1"/>
  <c r="M63" i="3" s="1"/>
  <c r="I61" i="3"/>
  <c r="J61" i="3" s="1"/>
  <c r="L61" i="3" s="1"/>
  <c r="M61" i="3" s="1"/>
  <c r="I42" i="3"/>
  <c r="I40" i="3"/>
  <c r="I38" i="3"/>
  <c r="I36" i="3"/>
  <c r="I59" i="3"/>
  <c r="J59" i="3" s="1"/>
  <c r="L59" i="3" s="1"/>
  <c r="M59" i="3" s="1"/>
  <c r="I57" i="3"/>
  <c r="J57" i="3" s="1"/>
  <c r="L57" i="3" s="1"/>
  <c r="M57" i="3" s="1"/>
  <c r="I55" i="3"/>
  <c r="J55" i="3" s="1"/>
  <c r="L55" i="3" s="1"/>
  <c r="M55" i="3" s="1"/>
  <c r="I53" i="3"/>
  <c r="J53" i="3" s="1"/>
  <c r="L53" i="3" s="1"/>
  <c r="M53" i="3" s="1"/>
  <c r="I51" i="3"/>
  <c r="J51" i="3" s="1"/>
  <c r="L51" i="3" s="1"/>
  <c r="M51" i="3" s="1"/>
  <c r="I49" i="3"/>
  <c r="J49" i="3" s="1"/>
  <c r="L49" i="3" s="1"/>
  <c r="M49" i="3" s="1"/>
  <c r="I47" i="3"/>
  <c r="J47" i="3" s="1"/>
  <c r="L47" i="3" s="1"/>
  <c r="M47" i="3" s="1"/>
  <c r="I45" i="3"/>
  <c r="J45" i="3" s="1"/>
  <c r="L45" i="3" s="1"/>
  <c r="M45" i="3" s="1"/>
  <c r="I43" i="3"/>
  <c r="J43" i="3" s="1"/>
  <c r="L43" i="3" s="1"/>
  <c r="M43" i="3" s="1"/>
  <c r="I41" i="3"/>
  <c r="I39" i="3"/>
  <c r="I37" i="3"/>
  <c r="I35" i="3"/>
  <c r="J35" i="3" s="1"/>
  <c r="L35" i="3" s="1"/>
  <c r="M35" i="3" s="1"/>
  <c r="B4" i="5"/>
  <c r="B6" i="4"/>
  <c r="D14" i="6"/>
  <c r="N6" i="3"/>
  <c r="B5" i="5"/>
  <c r="N8" i="3"/>
  <c r="N10" i="3"/>
  <c r="B7" i="4"/>
  <c r="N12" i="3"/>
  <c r="N14" i="3"/>
  <c r="N16" i="3"/>
  <c r="N18" i="3"/>
  <c r="B7" i="5"/>
  <c r="N20" i="3"/>
  <c r="N22" i="3"/>
  <c r="B8" i="5"/>
  <c r="N24" i="3"/>
  <c r="N26" i="3"/>
  <c r="N28" i="3"/>
  <c r="B8" i="4"/>
  <c r="N39" i="3"/>
  <c r="N37" i="3"/>
  <c r="N30" i="3"/>
  <c r="N32" i="3"/>
  <c r="I34" i="3"/>
  <c r="J34" i="3" s="1"/>
  <c r="N66" i="3"/>
  <c r="N36" i="3"/>
  <c r="N38" i="3"/>
  <c r="B6" i="5"/>
  <c r="B9" i="4"/>
  <c r="N40" i="3"/>
  <c r="N41" i="3"/>
  <c r="N42" i="3"/>
  <c r="N63" i="3"/>
  <c r="N67" i="3"/>
  <c r="N44" i="3"/>
  <c r="N46" i="3"/>
  <c r="B10" i="4"/>
  <c r="N48" i="3"/>
  <c r="N50" i="3"/>
  <c r="N52" i="3"/>
  <c r="N54" i="3"/>
  <c r="N56" i="3"/>
  <c r="N58" i="3"/>
  <c r="B11" i="4"/>
  <c r="N43" i="3"/>
  <c r="N45" i="3"/>
  <c r="N47" i="3"/>
  <c r="N49" i="3"/>
  <c r="N51" i="3"/>
  <c r="N53" i="3"/>
  <c r="N55" i="3"/>
  <c r="N57" i="3"/>
  <c r="N59" i="3"/>
  <c r="N60" i="3"/>
  <c r="H11" i="4"/>
  <c r="H10" i="4"/>
  <c r="H6" i="4"/>
  <c r="H9" i="4"/>
  <c r="H7" i="4"/>
  <c r="H18" i="5"/>
  <c r="O4" i="3" l="1"/>
  <c r="O59" i="3"/>
  <c r="O43" i="3"/>
  <c r="O54" i="3"/>
  <c r="O63" i="3"/>
  <c r="O66" i="3"/>
  <c r="O37" i="3"/>
  <c r="O26" i="3"/>
  <c r="O20" i="3"/>
  <c r="O14" i="3"/>
  <c r="O8" i="3"/>
  <c r="O61" i="3"/>
  <c r="O62" i="3"/>
  <c r="O27" i="3"/>
  <c r="O19" i="3"/>
  <c r="O13" i="3"/>
  <c r="O5" i="3"/>
  <c r="O65" i="3"/>
  <c r="O51" i="3"/>
  <c r="O57" i="3"/>
  <c r="O49" i="3"/>
  <c r="O52" i="3"/>
  <c r="O46" i="3"/>
  <c r="O42" i="3"/>
  <c r="O39" i="3"/>
  <c r="O24" i="3"/>
  <c r="O12" i="3"/>
  <c r="O35" i="3"/>
  <c r="O33" i="3"/>
  <c r="O25" i="3"/>
  <c r="O17" i="3"/>
  <c r="O11" i="3"/>
  <c r="O71" i="3"/>
  <c r="O55" i="3"/>
  <c r="O47" i="3"/>
  <c r="O58" i="3"/>
  <c r="O50" i="3"/>
  <c r="O44" i="3"/>
  <c r="O41" i="3"/>
  <c r="O38" i="3"/>
  <c r="O32" i="3"/>
  <c r="O18" i="3"/>
  <c r="O6" i="3"/>
  <c r="O34" i="3"/>
  <c r="O31" i="3"/>
  <c r="O23" i="3"/>
  <c r="O15" i="3"/>
  <c r="O9" i="3"/>
  <c r="O64" i="3"/>
  <c r="O60" i="3"/>
  <c r="O53" i="3"/>
  <c r="O45" i="3"/>
  <c r="O56" i="3"/>
  <c r="O48" i="3"/>
  <c r="O67" i="3"/>
  <c r="O40" i="3"/>
  <c r="O36" i="3"/>
  <c r="O30" i="3"/>
  <c r="O28" i="3"/>
  <c r="O22" i="3"/>
  <c r="O16" i="3"/>
  <c r="O10" i="3"/>
  <c r="O69" i="3"/>
  <c r="O70" i="3"/>
  <c r="O29" i="3"/>
  <c r="O21" i="3"/>
  <c r="O7" i="3"/>
  <c r="O68" i="3"/>
  <c r="K17" i="3"/>
  <c r="K13" i="3"/>
  <c r="K31" i="3"/>
  <c r="J10" i="4"/>
  <c r="K29" i="3"/>
  <c r="K15" i="3"/>
  <c r="K65" i="3"/>
  <c r="J6" i="4"/>
  <c r="K59" i="3"/>
  <c r="K58" i="3"/>
  <c r="J11" i="4"/>
  <c r="J44" i="3"/>
  <c r="L44" i="3" s="1"/>
  <c r="M44" i="3" s="1"/>
  <c r="K28" i="3"/>
  <c r="K53" i="3"/>
  <c r="K43" i="3"/>
  <c r="F14" i="14"/>
  <c r="F15" i="14" s="1"/>
  <c r="K5" i="3"/>
  <c r="J52" i="3"/>
  <c r="L52" i="3" s="1"/>
  <c r="M52" i="3" s="1"/>
  <c r="K61" i="3"/>
  <c r="K45" i="3"/>
  <c r="K69" i="3"/>
  <c r="J7" i="4"/>
  <c r="I12" i="4"/>
  <c r="K56" i="3"/>
  <c r="K21" i="3"/>
  <c r="K7" i="3"/>
  <c r="J9" i="4"/>
  <c r="G14" i="14"/>
  <c r="K57" i="3"/>
  <c r="C19" i="27"/>
  <c r="K23" i="3"/>
  <c r="K34" i="3"/>
  <c r="K26" i="3"/>
  <c r="K16" i="3"/>
  <c r="K32" i="3"/>
  <c r="K22" i="3"/>
  <c r="K18" i="3"/>
  <c r="K12" i="3"/>
  <c r="K51" i="3"/>
  <c r="K25" i="3"/>
  <c r="K35" i="3"/>
  <c r="K27" i="3"/>
  <c r="C7" i="4"/>
  <c r="D7" i="4" s="1"/>
  <c r="G19" i="14"/>
  <c r="C6" i="4"/>
  <c r="D6" i="4" s="1"/>
  <c r="K6" i="4" s="1"/>
  <c r="K67" i="3"/>
  <c r="K49" i="3"/>
  <c r="K11" i="3"/>
  <c r="K71" i="3"/>
  <c r="K63" i="3"/>
  <c r="K47" i="3"/>
  <c r="C7" i="5"/>
  <c r="D7" i="5" s="1"/>
  <c r="J48" i="3"/>
  <c r="L48" i="3" s="1"/>
  <c r="M48" i="3" s="1"/>
  <c r="K20" i="3"/>
  <c r="K4" i="3"/>
  <c r="K33" i="3"/>
  <c r="D15" i="6"/>
  <c r="K19" i="3"/>
  <c r="K9" i="3"/>
  <c r="L4" i="3"/>
  <c r="D17" i="6" s="1"/>
  <c r="K30" i="3"/>
  <c r="D33" i="2"/>
  <c r="K14" i="3"/>
  <c r="K6" i="3"/>
  <c r="K24" i="3"/>
  <c r="K8" i="3"/>
  <c r="K50" i="3"/>
  <c r="K10" i="3"/>
  <c r="B11" i="22"/>
  <c r="B68" i="9"/>
  <c r="B8" i="22"/>
  <c r="B20" i="9"/>
  <c r="J39" i="3"/>
  <c r="L39" i="3" s="1"/>
  <c r="M39" i="3" s="1"/>
  <c r="K39" i="3"/>
  <c r="J38" i="3"/>
  <c r="L38" i="3" s="1"/>
  <c r="M38" i="3" s="1"/>
  <c r="K38" i="3"/>
  <c r="J66" i="3"/>
  <c r="L66" i="3" s="1"/>
  <c r="M66" i="3" s="1"/>
  <c r="K66" i="3"/>
  <c r="B12" i="4"/>
  <c r="H12" i="4"/>
  <c r="B52" i="9"/>
  <c r="B10" i="22"/>
  <c r="B9" i="5"/>
  <c r="G7" i="5" s="1"/>
  <c r="H7" i="5" s="1"/>
  <c r="B7" i="22"/>
  <c r="B4" i="9"/>
  <c r="J41" i="3"/>
  <c r="L41" i="3" s="1"/>
  <c r="M41" i="3" s="1"/>
  <c r="K41" i="3"/>
  <c r="J40" i="3"/>
  <c r="K40" i="3"/>
  <c r="J60" i="3"/>
  <c r="L60" i="3" s="1"/>
  <c r="M60" i="3" s="1"/>
  <c r="K60" i="3"/>
  <c r="J68" i="3"/>
  <c r="L68" i="3" s="1"/>
  <c r="M68" i="3" s="1"/>
  <c r="K68" i="3"/>
  <c r="L34" i="3"/>
  <c r="M34" i="3" s="1"/>
  <c r="J42" i="3"/>
  <c r="L42" i="3" s="1"/>
  <c r="M42" i="3" s="1"/>
  <c r="K42" i="3"/>
  <c r="J62" i="3"/>
  <c r="L62" i="3" s="1"/>
  <c r="M62" i="3" s="1"/>
  <c r="K62" i="3"/>
  <c r="J70" i="3"/>
  <c r="L70" i="3" s="1"/>
  <c r="M70" i="3" s="1"/>
  <c r="K70" i="3"/>
  <c r="B36" i="9"/>
  <c r="B9" i="22"/>
  <c r="K55" i="3"/>
  <c r="F5" i="5"/>
  <c r="J37" i="3"/>
  <c r="L37" i="3" s="1"/>
  <c r="M37" i="3" s="1"/>
  <c r="K37" i="3"/>
  <c r="J36" i="3"/>
  <c r="K36" i="3"/>
  <c r="J64" i="3"/>
  <c r="K64" i="3"/>
  <c r="F4" i="5" l="1"/>
  <c r="F8" i="5"/>
  <c r="F6" i="5"/>
  <c r="F7" i="5"/>
  <c r="F16" i="14"/>
  <c r="G16" i="14" s="1"/>
  <c r="G15" i="14"/>
  <c r="J12" i="4"/>
  <c r="C4" i="5"/>
  <c r="C7" i="22" s="1"/>
  <c r="D7" i="22" s="1"/>
  <c r="B69" i="9"/>
  <c r="B70" i="9" s="1"/>
  <c r="B71" i="9" s="1"/>
  <c r="E7" i="4"/>
  <c r="K7" i="4"/>
  <c r="C8" i="4"/>
  <c r="D8" i="4" s="1"/>
  <c r="L8" i="4" s="1"/>
  <c r="L7" i="4"/>
  <c r="M4" i="3"/>
  <c r="D18" i="6" s="1"/>
  <c r="C11" i="22"/>
  <c r="D11" i="22" s="1"/>
  <c r="E11" i="22" s="1"/>
  <c r="G6" i="5"/>
  <c r="H6" i="5" s="1"/>
  <c r="G8" i="5"/>
  <c r="H8" i="5" s="1"/>
  <c r="C11" i="4"/>
  <c r="D11" i="4" s="1"/>
  <c r="L64" i="3"/>
  <c r="M64" i="3" s="1"/>
  <c r="B12" i="22"/>
  <c r="C5" i="5"/>
  <c r="G5" i="5"/>
  <c r="H5" i="5" s="1"/>
  <c r="C10" i="4"/>
  <c r="D10" i="4" s="1"/>
  <c r="L6" i="4"/>
  <c r="E6" i="4"/>
  <c r="C8" i="5"/>
  <c r="L36" i="3"/>
  <c r="M36" i="3" s="1"/>
  <c r="C9" i="4"/>
  <c r="D9" i="4" s="1"/>
  <c r="C6" i="5"/>
  <c r="L40" i="3"/>
  <c r="M40" i="3" s="1"/>
  <c r="G4" i="5"/>
  <c r="I7" i="5"/>
  <c r="E7" i="5"/>
  <c r="F9" i="5" l="1"/>
  <c r="J4" i="5" s="1"/>
  <c r="D4" i="5"/>
  <c r="B5" i="9"/>
  <c r="B6" i="9" s="1"/>
  <c r="B7" i="9" s="1"/>
  <c r="K8" i="4"/>
  <c r="E8" i="4"/>
  <c r="E7" i="22"/>
  <c r="B21" i="22"/>
  <c r="L9" i="4"/>
  <c r="E9" i="4"/>
  <c r="K9" i="4"/>
  <c r="L11" i="4"/>
  <c r="K11" i="4"/>
  <c r="E11" i="4"/>
  <c r="B37" i="9"/>
  <c r="B38" i="9" s="1"/>
  <c r="B39" i="9" s="1"/>
  <c r="C9" i="22"/>
  <c r="D9" i="22" s="1"/>
  <c r="E9" i="22" s="1"/>
  <c r="D6" i="5"/>
  <c r="G9" i="5"/>
  <c r="H4" i="5"/>
  <c r="H9" i="5" s="1"/>
  <c r="C8" i="22"/>
  <c r="D8" i="22" s="1"/>
  <c r="E8" i="22" s="1"/>
  <c r="B21" i="9"/>
  <c r="B22" i="9" s="1"/>
  <c r="B23" i="9" s="1"/>
  <c r="D5" i="5"/>
  <c r="C9" i="5"/>
  <c r="D9" i="5" s="1"/>
  <c r="L10" i="4"/>
  <c r="K10" i="4"/>
  <c r="E10" i="4"/>
  <c r="C10" i="22"/>
  <c r="D10" i="22" s="1"/>
  <c r="E10" i="22" s="1"/>
  <c r="B53" i="9"/>
  <c r="B54" i="9" s="1"/>
  <c r="B55" i="9" s="1"/>
  <c r="D8" i="5"/>
  <c r="C12" i="4"/>
  <c r="D12" i="4" s="1"/>
  <c r="E12" i="4" s="1"/>
  <c r="J8" i="5"/>
  <c r="K8" i="5" s="1"/>
  <c r="J6" i="5"/>
  <c r="K6" i="5" s="1"/>
  <c r="J5" i="5"/>
  <c r="K5" i="5" s="1"/>
  <c r="K4" i="5"/>
  <c r="J7" i="5" l="1"/>
  <c r="K7" i="5" s="1"/>
  <c r="L7" i="5" s="1"/>
  <c r="I4" i="5"/>
  <c r="E4" i="5"/>
  <c r="K12" i="4"/>
  <c r="L12" i="4"/>
  <c r="B40" i="9"/>
  <c r="B41" i="9" s="1"/>
  <c r="M6" i="5"/>
  <c r="C12" i="22"/>
  <c r="M7" i="5"/>
  <c r="I5" i="5"/>
  <c r="E5" i="5"/>
  <c r="L5" i="5"/>
  <c r="M5" i="5"/>
  <c r="B24" i="9"/>
  <c r="B25" i="9" s="1"/>
  <c r="I8" i="5"/>
  <c r="E8" i="5"/>
  <c r="L8" i="5"/>
  <c r="J9" i="5"/>
  <c r="B56" i="9"/>
  <c r="B57" i="9" s="1"/>
  <c r="M8" i="5"/>
  <c r="I6" i="5"/>
  <c r="E6" i="5"/>
  <c r="L6" i="5"/>
  <c r="D12" i="22"/>
  <c r="B72" i="9" l="1"/>
  <c r="B73" i="9" s="1"/>
  <c r="B58" i="9"/>
  <c r="B59" i="9" s="1"/>
  <c r="K9" i="5"/>
  <c r="M4" i="5"/>
  <c r="M9" i="5" s="1"/>
  <c r="E7" i="14"/>
  <c r="L4" i="5"/>
  <c r="L9" i="5" s="1"/>
  <c r="B26" i="9"/>
  <c r="B27" i="9" s="1"/>
  <c r="B74" i="9"/>
  <c r="B75" i="9" s="1"/>
  <c r="B42" i="9"/>
  <c r="B43" i="9" s="1"/>
  <c r="B24" i="22"/>
  <c r="E12" i="22"/>
  <c r="B18" i="22" s="1"/>
  <c r="B20" i="22" s="1"/>
  <c r="I9" i="5"/>
  <c r="A78" i="9" l="1"/>
  <c r="A46" i="9"/>
  <c r="A30" i="9"/>
  <c r="B25" i="22"/>
  <c r="B22" i="22"/>
  <c r="B23" i="22" s="1"/>
  <c r="A28" i="22" s="1"/>
  <c r="E8" i="14"/>
  <c r="B8" i="9"/>
  <c r="B9" i="9" s="1"/>
  <c r="E9" i="14"/>
  <c r="A62" i="9"/>
  <c r="C16" i="14" l="1"/>
  <c r="B16" i="14"/>
  <c r="F17" i="14" s="1"/>
  <c r="F18" i="14" s="1"/>
  <c r="B10" i="9"/>
  <c r="B11" i="9" s="1"/>
  <c r="A14" i="9" l="1"/>
  <c r="G17" i="14"/>
  <c r="F20" i="14" l="1"/>
  <c r="G18" i="14"/>
  <c r="F21" i="14" l="1"/>
  <c r="F22" i="14" s="1"/>
  <c r="D27" i="14"/>
  <c r="G20" i="14"/>
  <c r="G21" i="14" l="1"/>
  <c r="G19" i="27" l="1"/>
  <c r="E19" i="27"/>
  <c r="G22" i="14"/>
  <c r="A23" i="2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Tabla1" type="102" refreshedVersion="6" minRefreshableVersion="5">
    <extLst>
      <ext xmlns:x15="http://schemas.microsoft.com/office/spreadsheetml/2010/11/main" uri="{DE250136-89BD-433C-8126-D09CA5730AF9}">
        <x15:connection id="Tabla1">
          <x15:rangePr sourceName="_xlcn.LinkedTable_Tabla11"/>
        </x15:connection>
      </ext>
    </extLst>
  </connection>
  <connection id="2" xr16:uid="{00000000-0015-0000-FFFF-FFFF01000000}" name="LinkedTable_Tabla5" type="102" refreshedVersion="6" minRefreshableVersion="5">
    <extLst>
      <ext xmlns:x15="http://schemas.microsoft.com/office/spreadsheetml/2010/11/main" uri="{DE250136-89BD-433C-8126-D09CA5730AF9}">
        <x15:connection id="Tabla5">
          <x15:rangePr sourceName="_xlcn.LinkedTable_Tabla51"/>
        </x15:connection>
      </ext>
    </extLst>
  </connection>
  <connection id="3" xr16:uid="{00000000-0015-0000-FFFF-FFFF02000000}" keepAlive="1" name="ThisWorkbookDataModel" description="Modelo de dat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<sst xmlns="http://schemas.openxmlformats.org/spreadsheetml/2006/main" count="1797" uniqueCount="603">
  <si>
    <t>1. COSTO FIJO COMÚN CORPORATIVO ANUAL</t>
  </si>
  <si>
    <t>Costos Fijos Totales Comunes:</t>
  </si>
  <si>
    <t>Comprende Exploraciones en unidades operativas, Administración, Ventas y Deducciones Comerciales.</t>
  </si>
  <si>
    <t>MINA</t>
  </si>
  <si>
    <t>METAL</t>
  </si>
  <si>
    <t>PRECIO REALIZADO</t>
  </si>
  <si>
    <t>UNIDAD MEDIDA</t>
  </si>
  <si>
    <t>LLAVE BÚSQUEDA</t>
  </si>
  <si>
    <t>Orcopampa</t>
  </si>
  <si>
    <t>Oro</t>
  </si>
  <si>
    <t>oz</t>
  </si>
  <si>
    <t>Plata</t>
  </si>
  <si>
    <t>Tambomayo</t>
  </si>
  <si>
    <t>Plomo</t>
  </si>
  <si>
    <t>MT</t>
  </si>
  <si>
    <t>Zinc</t>
  </si>
  <si>
    <t>Uchucchacua &amp; Yumpag</t>
  </si>
  <si>
    <t>El Brocal</t>
  </si>
  <si>
    <t>Cobre</t>
  </si>
  <si>
    <t>Julcani</t>
  </si>
  <si>
    <t>Coimolache</t>
  </si>
  <si>
    <t>ID TRANSAC</t>
  </si>
  <si>
    <t>TRIMESTRE</t>
  </si>
  <si>
    <t>UNIDAD MINERA</t>
  </si>
  <si>
    <t>VOLUMEN VENDIDO</t>
  </si>
  <si>
    <t>PRECIO UNITARIO (USD)</t>
  </si>
  <si>
    <t>INGRESO BRUTO (USD)</t>
  </si>
  <si>
    <t>COSTO VARIABLE TOTAL (USD)</t>
  </si>
  <si>
    <t>MC UNITARIO (USD)</t>
  </si>
  <si>
    <t>MC TOTAL (USD)</t>
  </si>
  <si>
    <t>% MC</t>
  </si>
  <si>
    <t>TX-1001</t>
  </si>
  <si>
    <t>Q1-2025</t>
  </si>
  <si>
    <t>TX-1002</t>
  </si>
  <si>
    <t>Q2-2025</t>
  </si>
  <si>
    <t>TX-1003</t>
  </si>
  <si>
    <t>Q3-2025</t>
  </si>
  <si>
    <t>TX-1004</t>
  </si>
  <si>
    <t>Q4-2025</t>
  </si>
  <si>
    <t>TX-1005</t>
  </si>
  <si>
    <t>TX-1006</t>
  </si>
  <si>
    <t>TX-1007</t>
  </si>
  <si>
    <t>TX-1008</t>
  </si>
  <si>
    <t>TX-1009</t>
  </si>
  <si>
    <t>TX-1010</t>
  </si>
  <si>
    <t>TX-1011</t>
  </si>
  <si>
    <t>TX-1012</t>
  </si>
  <si>
    <t>TX-1013</t>
  </si>
  <si>
    <t>TX-1014</t>
  </si>
  <si>
    <t>TX-1015</t>
  </si>
  <si>
    <t>TX-1016</t>
  </si>
  <si>
    <t>TX-1017</t>
  </si>
  <si>
    <t>TX-1018</t>
  </si>
  <si>
    <t>TX-1019</t>
  </si>
  <si>
    <t>TX-1020</t>
  </si>
  <si>
    <t>TX-1021</t>
  </si>
  <si>
    <t>TX-1022</t>
  </si>
  <si>
    <t>TX-1023</t>
  </si>
  <si>
    <t>TX-1024</t>
  </si>
  <si>
    <t>TX-1025</t>
  </si>
  <si>
    <t>TX-1026</t>
  </si>
  <si>
    <t>TX-1027</t>
  </si>
  <si>
    <t>TX-1028</t>
  </si>
  <si>
    <t>TX-1029</t>
  </si>
  <si>
    <t>TX-1030</t>
  </si>
  <si>
    <t>TX-1031</t>
  </si>
  <si>
    <t>TX-1032</t>
  </si>
  <si>
    <t>TX-1033</t>
  </si>
  <si>
    <t>TX-1034</t>
  </si>
  <si>
    <t>TX-1035</t>
  </si>
  <si>
    <t>TX-1036</t>
  </si>
  <si>
    <t>TX-1037</t>
  </si>
  <si>
    <t>TX-1038</t>
  </si>
  <si>
    <t>TX-1039</t>
  </si>
  <si>
    <t>TX-1040</t>
  </si>
  <si>
    <t>TX-1041</t>
  </si>
  <si>
    <t>TX-1042</t>
  </si>
  <si>
    <t>TX-1043</t>
  </si>
  <si>
    <t>TX-1044</t>
  </si>
  <si>
    <t>TX-1045</t>
  </si>
  <si>
    <t>TX-1046</t>
  </si>
  <si>
    <t>TX-1047</t>
  </si>
  <si>
    <t>TX-1048</t>
  </si>
  <si>
    <t>TX-1049</t>
  </si>
  <si>
    <t>TX-1050</t>
  </si>
  <si>
    <t>TX-1051</t>
  </si>
  <si>
    <t>TX-1052</t>
  </si>
  <si>
    <t>TX-1053</t>
  </si>
  <si>
    <t>TX-1054</t>
  </si>
  <si>
    <t>TX-1055</t>
  </si>
  <si>
    <t>TX-1056</t>
  </si>
  <si>
    <t>TX-1057</t>
  </si>
  <si>
    <t>TX-1058</t>
  </si>
  <si>
    <t>TX-1059</t>
  </si>
  <si>
    <t>TX-1060</t>
  </si>
  <si>
    <t>TX-1061</t>
  </si>
  <si>
    <t>TX-1062</t>
  </si>
  <si>
    <t>TX-1063</t>
  </si>
  <si>
    <t>TX-1064</t>
  </si>
  <si>
    <t>TX-1065</t>
  </si>
  <si>
    <t>TX-1066</t>
  </si>
  <si>
    <t>TX-1067</t>
  </si>
  <si>
    <t>TX-1068</t>
  </si>
  <si>
    <t>INGRESOS CONSOL. (USD)</t>
  </si>
  <si>
    <t>COSTO VARIABLE CONSOL. (USD)</t>
  </si>
  <si>
    <t>MARGEN CONTRIB. (MC) (USD)</t>
  </si>
  <si>
    <t>VOLUMEN MOLIDO (DMT)</t>
  </si>
  <si>
    <t>HORAS PLANTA (h)</t>
  </si>
  <si>
    <t>CF SEGÚN VOLUMEN (USD)</t>
  </si>
  <si>
    <t>CF SEGÚN HORAS (USD)</t>
  </si>
  <si>
    <t>VARIACIÓN CF (USD)</t>
  </si>
  <si>
    <t>UTILIDAD ABSORCIÓN (USD)</t>
  </si>
  <si>
    <t>UTILIDAD AJUSTADA (USD)</t>
  </si>
  <si>
    <t>TOTAL CONSOLIDADO</t>
  </si>
  <si>
    <t>INGRESOS TOTALES (USD)</t>
  </si>
  <si>
    <t>MARGEN DE CONTRIBUCIÓN (USD)</t>
  </si>
  <si>
    <t>Instrucciones: Seleccione o ingrese un código de transacción válido (ej: TX-1001 a TX-1068) en la celda amarilla.</t>
  </si>
  <si>
    <t>CÓDIGO TRANSACCIÓN:</t>
  </si>
  <si>
    <t>DETALLES DE LA TRANSACCIÓN</t>
  </si>
  <si>
    <t>Trimestre Comercial:</t>
  </si>
  <si>
    <t>Unidad Minera:</t>
  </si>
  <si>
    <t>Metal Comercializado:</t>
  </si>
  <si>
    <t>Volumen Comercializado:</t>
  </si>
  <si>
    <t>Unidad de Medida:</t>
  </si>
  <si>
    <t>Precio Realizado de Venta:</t>
  </si>
  <si>
    <t>Ingresos Brutos Totales:</t>
  </si>
  <si>
    <t>Costo Variable CAS Unitario:</t>
  </si>
  <si>
    <t>Costo Variable Total (CV):</t>
  </si>
  <si>
    <t>Margen de Contribución Total:</t>
  </si>
  <si>
    <t>% Margen de Contribución (%MC):</t>
  </si>
  <si>
    <t>BASE DE DATOS TRANSACCIONAL DE VENTAS DE MINERA BUENAVENTURA S.A.A. (2025)</t>
  </si>
  <si>
    <t>CV UNITARIO</t>
  </si>
  <si>
    <t>FORMULARIO DE CONSULTA Y AUDITORIA</t>
  </si>
  <si>
    <t>COSTO VARIABLE</t>
  </si>
  <si>
    <t>UNIVERSIDAD NACIONAL DE TRUJILLO</t>
  </si>
  <si>
    <t>ESCUELA DE CONTABILIDAD Y FINANZAS</t>
  </si>
  <si>
    <t>INTEGRANTES</t>
  </si>
  <si>
    <t xml:space="preserve">1. Ferrel Gonzales, Jairo </t>
  </si>
  <si>
    <t>2. Geronimo Marrufo, Debora</t>
  </si>
  <si>
    <t>3. Gonzales Barrios, Nicol</t>
  </si>
  <si>
    <t>4. Guillen Saldaña, Cicely</t>
  </si>
  <si>
    <t>DOCENTE:</t>
  </si>
  <si>
    <t>CURSO:</t>
  </si>
  <si>
    <t>Contabilidad Gerencial</t>
  </si>
  <si>
    <t>FACULTA DE CIENCA ECONÓMICAS</t>
  </si>
  <si>
    <t>"ANÁLISIS DE DATOS DE LA COMPAÑÍA DE MINAS BUENAVENTURA S.A.A"</t>
  </si>
  <si>
    <t>CICLO Y TURNO:</t>
  </si>
  <si>
    <t>VI Ciclo - Turno tarde</t>
  </si>
  <si>
    <t>Dr. Granda Fernandez, Juan Manuel</t>
  </si>
  <si>
    <t>ANÁLISIS DE COSTEO GERENCIAL</t>
  </si>
  <si>
    <t>REPORTE RESUMIDO GERENCIAL - METALES</t>
  </si>
  <si>
    <t>DATOS CENTRALES 2025</t>
  </si>
  <si>
    <t>Datos extraidos de informes públicos de Minera Buenaventura a periodo trimestral según volumen</t>
  </si>
  <si>
    <t>MATRIZ DE COSTEO COMPLETO POR UNIDAD OPERATIVA SEGÚN UNIDAD OPERATIVA:</t>
  </si>
  <si>
    <t>% INGRESOS</t>
  </si>
  <si>
    <t>BASE 1: CF POR INGRESOS (USD)</t>
  </si>
  <si>
    <t>% COMPLEJIDAD PLANTA</t>
  </si>
  <si>
    <t>BASE 2: CF POR COMPLEJIDAD (USD)</t>
  </si>
  <si>
    <t>SUBSIDIO CRUZADO / VAR. (USD)</t>
  </si>
  <si>
    <t>UTILIDAD ABSORCIÓN</t>
  </si>
  <si>
    <t>UTILIDAD AJUSTADA</t>
  </si>
  <si>
    <t>Base</t>
  </si>
  <si>
    <t>Pesimista</t>
  </si>
  <si>
    <t>Optimista</t>
  </si>
  <si>
    <t>PESIMISTA</t>
  </si>
  <si>
    <t>OPTIMISTA</t>
  </si>
  <si>
    <t>(-) Costo Variable CAS Total</t>
  </si>
  <si>
    <t>ANÁLISIS COSTO-VOLUMEN-UTILIDAD Y PUNTO DE EQUILIBRIO CORPORATIVO</t>
  </si>
  <si>
    <t>Ingresos Brutos Totales (Ventas Base FY25)</t>
  </si>
  <si>
    <t>Margen de Contribución Total (MC)</t>
  </si>
  <si>
    <t>% Margen de Contribución Global (%MC)</t>
  </si>
  <si>
    <t>Costos Fijos Comunes Corporativos (CF)</t>
  </si>
  <si>
    <t>PUNTO DE EQUILIBRIO EN VENTAS (PDE USD)</t>
  </si>
  <si>
    <t>MARGEN DE SEGURIDAD (EN USD)</t>
  </si>
  <si>
    <t>MARGEN DE SEGURIDAD (EN %)</t>
  </si>
  <si>
    <t>MARGEN CONTRIB. (USD)</t>
  </si>
  <si>
    <t>Etiquetas de fila</t>
  </si>
  <si>
    <t>Total general</t>
  </si>
  <si>
    <t>Suma de INGRESOS TOTALES (USD)</t>
  </si>
  <si>
    <t>Suma de MARGEN DE CONTRIBUCIÓN (USD)</t>
  </si>
  <si>
    <t>Suma de MARGEN DE CONTRIBUCIÓN (USD)2</t>
  </si>
  <si>
    <t>Suma de BASE 2: CF POR COMPLEJIDAD (USD)</t>
  </si>
  <si>
    <t>COMPLEJIDAD X METAL</t>
  </si>
  <si>
    <t>VALOR</t>
  </si>
  <si>
    <t>SUPUESTOS POR ESCENARIO</t>
  </si>
  <si>
    <t>Escenario</t>
  </si>
  <si>
    <t>Tasa impuesto</t>
  </si>
  <si>
    <t>VARIABLE</t>
  </si>
  <si>
    <t>Precio realizado</t>
  </si>
  <si>
    <t>Volumen vendido</t>
  </si>
  <si>
    <t>Gastos financieros</t>
  </si>
  <si>
    <t>FUNDAMENTO CUANTITATIVO (de dónde sale el %)</t>
  </si>
  <si>
    <t>Un tercio de la brecha entre el precio realizado (B9) y el precio de equilibrio (B17). Mientras más colchón tiene el metal, mayor es la caída que el escenario le exige resistir.</t>
  </si>
  <si>
    <t>Paralización (o ampliación) de un trimestre en la unidad minera que concentra el volumen del metal: 25% x participación dominante (C28).</t>
  </si>
  <si>
    <t>Costo variable unitario</t>
  </si>
  <si>
    <t>Mitad de la brecha entre el CVu de la mina más cara (o más barata) del metal y el CVu promedio ponderado (B10). Es la brecha de eficiencia realmente observada en DATOS CENTRALES.</t>
  </si>
  <si>
    <t>Costos fijos asignados</t>
  </si>
  <si>
    <t>Inflación / eficiencia de la estructura fija corporativa (DATOS CENTRALES B31-B32).</t>
  </si>
  <si>
    <t>Encarecimiento o refinanciamiento del servicio de deuda (DATOS CENTRALES B33-B34).</t>
  </si>
  <si>
    <t>ADMINISTRADOR DE ESCENARIOS · MODELO BÁSICO</t>
  </si>
  <si>
    <t>Seleccione Base, Pesimista u Optimista en B3; el Estado de Resultados se recalcula.</t>
  </si>
  <si>
    <t>Escenario activo</t>
  </si>
  <si>
    <t>ENTRADAS ACTIVAS</t>
  </si>
  <si>
    <t>ESTADO DE RESULTADOS</t>
  </si>
  <si>
    <t>Variable</t>
  </si>
  <si>
    <t>Valor</t>
  </si>
  <si>
    <t>ValorEspejo</t>
  </si>
  <si>
    <t>Concepto</t>
  </si>
  <si>
    <t>Ventas</t>
  </si>
  <si>
    <t>Costo de ventas</t>
  </si>
  <si>
    <t>Gastos operativos fijos (S/)</t>
  </si>
  <si>
    <t>Utilidad bruta</t>
  </si>
  <si>
    <t>Gastos financieros (S/)</t>
  </si>
  <si>
    <t>Gastos operativos</t>
  </si>
  <si>
    <t>Tasa de impuesto</t>
  </si>
  <si>
    <t>Utilidad operativa</t>
  </si>
  <si>
    <t>Utilidad antes de impuesto</t>
  </si>
  <si>
    <t>Impuesto académico</t>
  </si>
  <si>
    <t>Utilidad neta</t>
  </si>
  <si>
    <t>Precio de venta (S/ONZA)</t>
  </si>
  <si>
    <t>Volumen (ONZA)</t>
  </si>
  <si>
    <t>Costo del oro (S//onza)</t>
  </si>
  <si>
    <t>Costo de oro</t>
  </si>
  <si>
    <t>Cv oro x onza</t>
  </si>
  <si>
    <t>MATRIZ: VARIACIÓN DE PRECIO DEL ORO × VARIACIÓN CV DEL ORO</t>
  </si>
  <si>
    <t>$F$20</t>
  </si>
  <si>
    <t>BASE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</si>
  <si>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</si>
  <si>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</si>
  <si>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</si>
  <si>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</si>
  <si>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</si>
  <si>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</si>
  <si>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</si>
  <si>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$B$13</t>
  </si>
  <si>
    <t>$B$14</t>
  </si>
  <si>
    <t>$B$15</t>
  </si>
  <si>
    <t>$B$16</t>
  </si>
  <si>
    <t>$B$17</t>
  </si>
  <si>
    <t>$B$18</t>
  </si>
  <si>
    <t>$B$13:$B$18 por</t>
  </si>
  <si>
    <t>(Todas)</t>
  </si>
  <si>
    <t>VOLUMEN VENDIDO POR METALES</t>
  </si>
  <si>
    <t>ANÁLISIS:</t>
  </si>
  <si>
    <t>METAL - ORO</t>
  </si>
  <si>
    <t>ESCENARIO</t>
  </si>
  <si>
    <t>VENTAS (S/)</t>
  </si>
  <si>
    <t>UTILIDAD NETA (S/)</t>
  </si>
  <si>
    <t>MARGEN NETO</t>
  </si>
  <si>
    <t>HISTORIA EN BREVE</t>
  </si>
  <si>
    <t>UTILIDAD ANTES DE IMPUESTOS</t>
  </si>
  <si>
    <t xml:space="preserve">TABLERO DE SENSIBILIDAD </t>
  </si>
  <si>
    <t xml:space="preserve">PUNTO DE EQUILIBRIO (PDE) – COMPAÑÍA DE MINAS BUENAVENTURA S.A.A. </t>
  </si>
  <si>
    <t>INGRESOS (USD)</t>
  </si>
  <si>
    <t>COSTO VARIABLE (USD)</t>
  </si>
  <si>
    <t>Costos Fijos Totales Comunes (CF) – USD</t>
  </si>
  <si>
    <t>Costos Fijos Totales (CF)</t>
  </si>
  <si>
    <t>PUNTO DE EQUILIBRIO EN VENTAS (PDE, USD)</t>
  </si>
  <si>
    <t>Ventas actuales (USD)</t>
  </si>
  <si>
    <t>Margen de seguridad (USD)</t>
  </si>
  <si>
    <t>Margen de seguridad (%)</t>
  </si>
  <si>
    <t>Utilidad operativa a ventas actuales (USD)</t>
  </si>
  <si>
    <t>Comprobación: MC en el PDE − CF (debe ser 0)</t>
  </si>
  <si>
    <t>SUPUESTO</t>
  </si>
  <si>
    <t>Rubro Corporativo</t>
  </si>
  <si>
    <t>Importe Anual (USD)</t>
  </si>
  <si>
    <t>% del Total</t>
  </si>
  <si>
    <t>Exploraciones Unidades Operativas</t>
  </si>
  <si>
    <t>Campañas de perforación diamantina e infraestructura</t>
  </si>
  <si>
    <t>Gastos de Administración</t>
  </si>
  <si>
    <t>Oficinas centrales Las Begonias, sistemas y gerencias</t>
  </si>
  <si>
    <t>Gastos de Ventas</t>
  </si>
  <si>
    <t>Fletes terrestres, seguros de transporte y aduanas</t>
  </si>
  <si>
    <t>Deducciones Comerciales</t>
  </si>
  <si>
    <t>Cargos de maquila, refinación y penalidades en plantas</t>
  </si>
  <si>
    <t>TOTAL COSTOS FIJOS COMUNES</t>
  </si>
  <si>
    <t>Descripción</t>
  </si>
  <si>
    <t>MATRIZ DE SEGREGACIÓN: PRECIOS REALIZADOS Y COSTOS VARIABLES</t>
  </si>
  <si>
    <t xml:space="preserve">ESTRUCTURA DE COSTOS FIJOS COMUNES </t>
  </si>
  <si>
    <t>ORO</t>
  </si>
  <si>
    <t>PLATA</t>
  </si>
  <si>
    <t>COBRE</t>
  </si>
  <si>
    <t>ZINC</t>
  </si>
  <si>
    <t>PLOMO</t>
  </si>
  <si>
    <t>CÁLCULO DEL PUNTO DE EQUILIBRIO</t>
  </si>
  <si>
    <t>INTERPRETACIÓN</t>
  </si>
  <si>
    <t>FIGURA DEL PUNTO DE EQUILIBRIO</t>
  </si>
  <si>
    <t>ESCENARIO PESIMISTA</t>
  </si>
  <si>
    <t>ESCENARIO OPTIMISTA</t>
  </si>
  <si>
    <t>PARÁMETROS DE VARIACIÓN</t>
  </si>
  <si>
    <t>Volumen x onza</t>
  </si>
  <si>
    <t>Precio x onza</t>
  </si>
  <si>
    <t>Gastos fijos $</t>
  </si>
  <si>
    <t xml:space="preserve">Gasto financiero $ </t>
  </si>
  <si>
    <t>Aumento en Volumen (+20.0%)</t>
  </si>
  <si>
    <r>
      <t>Caída en Volumen (-12.0%)</t>
    </r>
    <r>
      <rPr>
        <sz val="13"/>
        <color rgb="FF303030"/>
        <rFont val="Google Sans Text"/>
      </rPr>
      <t>:</t>
    </r>
  </si>
  <si>
    <r>
      <t>Caída en Precios (-20.0%)</t>
    </r>
    <r>
      <rPr>
        <sz val="13"/>
        <color rgb="FFFF0000"/>
        <rFont val="Google Sans Text"/>
      </rPr>
      <t>: Corrección cíclica en las cotizaciones LBMA/LME impulsada por altas tasas de interés globales y fortaleza del dólar.</t>
    </r>
  </si>
  <si>
    <r>
      <t>Aumento de Costo CAS (+12.0%)</t>
    </r>
    <r>
      <rPr>
        <sz val="13"/>
        <color rgb="FFFF0000"/>
        <rFont val="Google Sans Text"/>
      </rPr>
      <t>: Inflación en insumos químicos clave (</t>
    </r>
    <r>
      <rPr>
        <sz val="13"/>
        <color rgb="FFFF0000"/>
        <rFont val="Google Sans Text"/>
      </rPr>
      <t>cianuro de sodio</t>
    </r>
    <r>
      <rPr>
        <sz val="13"/>
        <color rgb="FFFF0000"/>
        <rFont val="Google Sans Text"/>
      </rPr>
      <t>, cal, reactivos de flotación) y mayor costo de fletes y energía eléctrica industrial.</t>
    </r>
  </si>
  <si>
    <r>
      <t>Alza en Precios (+20.0%)</t>
    </r>
    <r>
      <rPr>
        <sz val="13"/>
        <color rgb="FFFF0000"/>
        <rFont val="Google Sans Text"/>
      </rPr>
      <t>: Cotizaciones récord del Oro (&gt; $4,000/oz) y Plata (&gt; $50/oz) como activos refugio, y superciclo del Cobre por electrificación global.</t>
    </r>
  </si>
  <si>
    <r>
      <t>Disminución de Costo CAS (-8.0%)</t>
    </r>
    <r>
      <rPr>
        <sz val="13"/>
        <color rgb="FFFF0000"/>
        <rFont val="Google Sans Text"/>
      </rPr>
      <t xml:space="preserve">: </t>
    </r>
    <r>
      <rPr>
        <sz val="13"/>
        <color rgb="FFFF0000"/>
        <rFont val="Google Sans Text"/>
      </rPr>
      <t>Economías de escala</t>
    </r>
    <r>
      <rPr>
        <sz val="13"/>
        <color rgb="FFFF0000"/>
        <rFont val="Google Sans Text"/>
      </rPr>
      <t xml:space="preserve"> y dilución de costos fijos operacionales gracias a la mayor escala de procesamiento.</t>
    </r>
  </si>
  <si>
    <t>Porcenatje</t>
  </si>
  <si>
    <t>Importe ($)</t>
  </si>
  <si>
    <t>CÁLCULO DEL PUNTO DE EQUILIBRIO CORPORATIVO (PDE)</t>
  </si>
  <si>
    <t>METAL - PLATA</t>
  </si>
  <si>
    <t>METAL - COBRE</t>
  </si>
  <si>
    <t>METAL - ZINC</t>
  </si>
  <si>
    <t>METAL - PLOMO</t>
  </si>
  <si>
    <t>DATOS DE ENTRADA</t>
  </si>
  <si>
    <t>Es un motor gigante, muy rentable y sumamente estable.</t>
  </si>
  <si>
    <t>Es el mayor aportador de margen de contribución de la empresa y tiene un colchón de seguridad amplio.</t>
  </si>
  <si>
    <t>Necesita vender más volumen que los demás porque procesarlo en la mina cuesta más caro</t>
  </si>
  <si>
    <t>Es un negocio secundario saludable pero con volumen moderado</t>
  </si>
  <si>
    <t>Es el metal más pequeño de la cartera, pero su colchón de seguridad es amplio: sus ventas tendrían que caer más del 75% para generar pérdidas.</t>
  </si>
  <si>
    <t>COMPLEJIDAD X METAL UNITARIO</t>
  </si>
  <si>
    <t>COMPLEJIDAD X METAL total</t>
  </si>
  <si>
    <t>porcentacompl</t>
  </si>
  <si>
    <t>distribuccfcomun</t>
  </si>
  <si>
    <t>Suma de VOLUMEN VENDIDO</t>
  </si>
  <si>
    <t>Suma de INGRESO BRUTO (USD)</t>
  </si>
  <si>
    <t>Suma de PRECIO UNITARIO (USD)</t>
  </si>
  <si>
    <t>Suma de CV UNITARIO</t>
  </si>
  <si>
    <t>Suma de COSTO VARIABLE TOTAL (USD)</t>
  </si>
  <si>
    <t>Suma de MC TOTAL (USD)</t>
  </si>
  <si>
    <t>Suma de MC TOTAL (USD)2</t>
  </si>
  <si>
    <t>porcentaING</t>
  </si>
  <si>
    <t>distribuccfcomuning</t>
  </si>
  <si>
    <t>Complejidad</t>
  </si>
  <si>
    <t>Creado por CICELY GUILLEN el 22/09/2026</t>
  </si>
  <si>
    <t>ESCENARIOS</t>
  </si>
  <si>
    <r>
      <rPr>
        <b/>
        <sz val="12"/>
        <color theme="0"/>
        <rFont val="Calibri (Cuerpo)"/>
      </rPr>
      <t>NOTA GERENCIAL:</t>
    </r>
    <r>
      <rPr>
        <sz val="11"/>
        <color theme="0"/>
        <rFont val="Calibri"/>
        <family val="2"/>
        <scheme val="minor"/>
      </rPr>
      <t xml:space="preserve"> Se repartió el CF común con unidades comparables: (1) a cada mina por sus horas de planta y (2) dentro de cada mina a sus metales por ingresos; así no se suman onzas con toneladas. La Plata asume USD 96.7 M de CF (antes 251.6 M) y gana USD 284.62 M; el Oro asume 132.27 M y gana 137.23 M; el Cobre gana 144.45 M. Subsidio cruzado = Base 2 − Base 1: (+) el metal era subsidiado por los demás; (−) subsidiaba a otros.</t>
    </r>
  </si>
  <si>
    <t>DEMO DAY</t>
  </si>
  <si>
    <t>US$ millones</t>
  </si>
  <si>
    <t>Inversión minera en exploración</t>
  </si>
  <si>
    <t>Tecnológico</t>
  </si>
  <si>
    <t>Inversión minera en equipamiento</t>
  </si>
  <si>
    <t>Trabajadores</t>
  </si>
  <si>
    <t>Empleo directo en el sector minero</t>
  </si>
  <si>
    <t>Social</t>
  </si>
  <si>
    <t>Puntos básicos</t>
  </si>
  <si>
    <t>Riesgo país EMBIG Perú</t>
  </si>
  <si>
    <t>Político</t>
  </si>
  <si>
    <t>Percentil</t>
  </si>
  <si>
    <t>Estabilidad política y ausencia de violencia (percentil WGI)</t>
  </si>
  <si>
    <t>Puntos (-2.5 a 2.5 aprox.)</t>
  </si>
  <si>
    <t>Calidad regulatoria – WGI</t>
  </si>
  <si>
    <t>Legal</t>
  </si>
  <si>
    <t>S/ por US$</t>
  </si>
  <si>
    <t>Tipo de cambio promedio</t>
  </si>
  <si>
    <t>Económico</t>
  </si>
  <si>
    <t>US$/onza troy</t>
  </si>
  <si>
    <t>Precio promedio del oro – LBMA</t>
  </si>
  <si>
    <t>Inversión minera del Perú</t>
  </si>
  <si>
    <t>%</t>
  </si>
  <si>
    <t>Inflación – IPC promedio anual</t>
  </si>
  <si>
    <t>% variación interanual</t>
  </si>
  <si>
    <t>Crecimiento del PBI de minería metálica e hidrocarburos</t>
  </si>
  <si>
    <t>tCO₂e</t>
  </si>
  <si>
    <t>Emisiones totales de GEI de Buenaventura</t>
  </si>
  <si>
    <t>Ecológico</t>
  </si>
  <si>
    <t>MWh</t>
  </si>
  <si>
    <t>Consumo de energía renovable de Buenaventura</t>
  </si>
  <si>
    <t>Unidad</t>
  </si>
  <si>
    <t>Indicador Cuantificable</t>
  </si>
  <si>
    <t>Categoría</t>
  </si>
  <si>
    <t>Año</t>
  </si>
  <si>
    <t>Mineral</t>
  </si>
  <si>
    <t>Perro</t>
  </si>
  <si>
    <t>Bajo</t>
  </si>
  <si>
    <t>Interrogante</t>
  </si>
  <si>
    <t>Alto</t>
  </si>
  <si>
    <t>Vaca lechera</t>
  </si>
  <si>
    <t>Estrella</t>
  </si>
  <si>
    <t>Cuadrante</t>
  </si>
  <si>
    <t>Nivel_TCM</t>
  </si>
  <si>
    <t>Nivel_PRM</t>
  </si>
  <si>
    <t>TCM</t>
  </si>
  <si>
    <t>PRM</t>
  </si>
  <si>
    <t>Variación interanual de la producción propia de Buenaventura.</t>
  </si>
  <si>
    <t>(Producción BVN_t - Producción BVN_t-1) / Producción BVN_t-1</t>
  </si>
  <si>
    <t>Formula_TCM</t>
  </si>
  <si>
    <t>Participación relativa de Buenaventura frente al líder de cada mineral y año.</t>
  </si>
  <si>
    <t>Producción BVN / Producción líder</t>
  </si>
  <si>
    <t>Formula_PRM</t>
  </si>
  <si>
    <t>Los cuadrantes BCG se calculan desde 2019.</t>
  </si>
  <si>
    <t>Inicio_Cuadrante</t>
  </si>
  <si>
    <t>La TCM 2018 queda vacía porque la serie inicia en 2018.</t>
  </si>
  <si>
    <t>Inicio_TCM</t>
  </si>
  <si>
    <t>TCM &gt; 10% = Alto; TCM ≤ 10% = Bajo</t>
  </si>
  <si>
    <t>Umbral_TCM</t>
  </si>
  <si>
    <t>PRM &gt; 0.50 = Alto; PRM ≤ 0.50 = Bajo</t>
  </si>
  <si>
    <t>Umbral_PRM</t>
  </si>
  <si>
    <t>Parámetro</t>
  </si>
  <si>
    <t>La compañía identifica la expansión de la minería ilegal como riesgo para la minería formal.</t>
  </si>
  <si>
    <t>https://buenaventura.com/reportes-anuales/</t>
  </si>
  <si>
    <t>Memoria Anual Integrada 2025</t>
  </si>
  <si>
    <t>factor</t>
  </si>
  <si>
    <t>Minería ilegal como riesgo externo</t>
  </si>
  <si>
    <t>Minería ilegal</t>
  </si>
  <si>
    <t>Entorno</t>
  </si>
  <si>
    <t>Amenaza</t>
  </si>
  <si>
    <t>Riesgo externo señalado por la compañía.</t>
  </si>
  <si>
    <t>Conflictividad social como riesgo externo</t>
  </si>
  <si>
    <t>Conflictividad social</t>
  </si>
  <si>
    <t>Evento fatal reportado por la compañía.</t>
  </si>
  <si>
    <t>accidente</t>
  </si>
  <si>
    <t>Accidente fatal</t>
  </si>
  <si>
    <t>Seguridad ocupacional</t>
  </si>
  <si>
    <t>Seguridad</t>
  </si>
  <si>
    <t>Debilidad</t>
  </si>
  <si>
    <t>Meta operativa comunicada por Buenaventura.</t>
  </si>
  <si>
    <t>https://buenaventura.com/inversionista/reporte-trimestral-2025/</t>
  </si>
  <si>
    <t>Resultados FY2025</t>
  </si>
  <si>
    <t>TMS/día</t>
  </si>
  <si>
    <t>Capacidad proyectada al cierre de 2026</t>
  </si>
  <si>
    <t>San Gabriel</t>
  </si>
  <si>
    <t>Proyectos</t>
  </si>
  <si>
    <t>Oportunidad</t>
  </si>
  <si>
    <t>Proyecto próximo a iniciar producción comercial.</t>
  </si>
  <si>
    <t>Avance de construcción</t>
  </si>
  <si>
    <t>Recuperación metalúrgica de Yumpag de 95.6%, superior a 94.0% en 2024; la mejora fue asociada por la compañía a un impacto económico estimado de US$2.7 millones.</t>
  </si>
  <si>
    <t>Recuperación de plata</t>
  </si>
  <si>
    <t>Yumpag</t>
  </si>
  <si>
    <t>Operaciones</t>
  </si>
  <si>
    <t>Fortaleza</t>
  </si>
  <si>
    <t>Producción reportada para 2025.</t>
  </si>
  <si>
    <t>Producción de plata</t>
  </si>
  <si>
    <t>Utilidad neta FY2025.</t>
  </si>
  <si>
    <t>Resultado neto</t>
  </si>
  <si>
    <t>Rentabilidad</t>
  </si>
  <si>
    <t>Financiero</t>
  </si>
  <si>
    <t>Posición de caja al cierre.</t>
  </si>
  <si>
    <t>Caja al cierre</t>
  </si>
  <si>
    <t>Liquidez</t>
  </si>
  <si>
    <t>La compañía señala que los procedimientos de permisos son complejos, demandan tiempo y pueden sufrir retrasos regulatorios.</t>
  </si>
  <si>
    <t>https://www.buenaventura.com/wp-content/uploads/2024/09/BUENAVENTURA-MINING-CO-INC_December-31-2024.pdf</t>
  </si>
  <si>
    <t>Buenaventura – Form 20-F 2024</t>
  </si>
  <si>
    <t>Riesgo de retrasos y complejidad regulatoria</t>
  </si>
  <si>
    <t>Permisos</t>
  </si>
  <si>
    <t>Regulatorio</t>
  </si>
  <si>
    <t>Accidente ocurrido en el Proyecto San Gabriel.</t>
  </si>
  <si>
    <t>Memoria Anual Integrada 2024</t>
  </si>
  <si>
    <t>Cartera futura de proyectos reportada.</t>
  </si>
  <si>
    <t>proyectos</t>
  </si>
  <si>
    <t>Proyectos previstos para construcción 2025-2026</t>
  </si>
  <si>
    <t>Cartera de proyectos</t>
  </si>
  <si>
    <t>Utilidad neta consolidada; incluye aproximadamente US$210 millones relacionados con la venta de Chaupiloma, por lo que no representa exclusivamente desempeño operativo recurrente.</t>
  </si>
  <si>
    <t>Aumento desde US$219.8 millones en 2023.</t>
  </si>
  <si>
    <t>Reducción desde 2.4x.</t>
  </si>
  <si>
    <t>x</t>
  </si>
  <si>
    <t>Deuda neta / EBITDA</t>
  </si>
  <si>
    <t>Apalancamiento</t>
  </si>
  <si>
    <t>La compañía identifica conflictos sociales y políticos como riesgo para permisos, proyectos y relaciones con comunidades.</t>
  </si>
  <si>
    <t>https://buenaventura.com/wp-content/uploads/2024/09/Form-20-F-2023.pdf</t>
  </si>
  <si>
    <t>Buenaventura – Form 20-F 2023</t>
  </si>
  <si>
    <t>Riesgo de conflictos sociales y políticos</t>
  </si>
  <si>
    <t>Relaciones comunitarias</t>
  </si>
  <si>
    <t>Evento operativo reportado.</t>
  </si>
  <si>
    <t>Memoria Anual 2023</t>
  </si>
  <si>
    <t>días</t>
  </si>
  <si>
    <t>Suspensión temporal de operaciones</t>
  </si>
  <si>
    <t>Ratio reportado al cierre.</t>
  </si>
  <si>
    <t>La acción de Buenaventura aumentó 106% durante 2023; la compañía también reportó la adquisición de aproximadamente 19% de sus acciones por Antofagasta.</t>
  </si>
  <si>
    <t>https://www.buenaventura.com/wp-content/uploads/2024/09/6-1.pdf</t>
  </si>
  <si>
    <t>Buenaventura – Memoria Anual 2023</t>
  </si>
  <si>
    <t>Variación de la acción de Buenaventura</t>
  </si>
  <si>
    <t>Confianza del mercado</t>
  </si>
  <si>
    <t>Mercado</t>
  </si>
  <si>
    <t>El contexto peruano registró tensiones, protestas y bloqueos desde diciembre de 2022, con potencial de afectar operaciones y cadenas de suministro.</t>
  </si>
  <si>
    <t>https://buenaventura.com/wp-content/uploads/2024/09/Form-20-F-2022.pdf</t>
  </si>
  <si>
    <t>Buenaventura – Form 20-F 2022</t>
  </si>
  <si>
    <t>evento</t>
  </si>
  <si>
    <t>Protestas y disturbios sociales al cierre del año</t>
  </si>
  <si>
    <t>https://buenaventura.com/informes-y-reportes/</t>
  </si>
  <si>
    <t>Resultados FY2022</t>
  </si>
  <si>
    <t>Avance regulatorio del proyecto.</t>
  </si>
  <si>
    <t>Memoria Anual 2022</t>
  </si>
  <si>
    <t>hito</t>
  </si>
  <si>
    <t>Permisos aprobados</t>
  </si>
  <si>
    <t>El proyecto Yumpag continuó su desarrollo dentro de la cartera de crecimiento de Buenaventura.</t>
  </si>
  <si>
    <t>Buenaventura – Memoria Anual 2022</t>
  </si>
  <si>
    <t>Continuidad del desarrollo del proyecto</t>
  </si>
  <si>
    <t>Exploración</t>
  </si>
  <si>
    <t>Resultado neto consolidado excepcional; una parte importante estuvo influenciada por la transacción con Newmont, por lo que no debe interpretarse como crecimiento operativo puro.</t>
  </si>
  <si>
    <t>Factor externo que afectó el entorno de operación.</t>
  </si>
  <si>
    <t>Memoria Anual 2021</t>
  </si>
  <si>
    <t>Reactivación de conflictos sociales</t>
  </si>
  <si>
    <t>Ratio elevado del ejercicio.</t>
  </si>
  <si>
    <t>Durante 2021 se registraron avances regulatorios y aprobaciones vinculadas al desarrollo de San Gabriel, fortaleciendo su perspectiva de crecimiento.</t>
  </si>
  <si>
    <t>https://www.buenaventura.com/wp-content/uploads/2024/09/Form-20-F-2021.pdf</t>
  </si>
  <si>
    <t>Buenaventura – Form 20-F 2021</t>
  </si>
  <si>
    <t>Aprobación de permisos clave</t>
  </si>
  <si>
    <t>Posición de caja reportada al cierre.</t>
  </si>
  <si>
    <t>El Gobierno declaró emergencia nacional y Buenaventura limitó actividades operativas para contener el brote.</t>
  </si>
  <si>
    <t>https://buenaventura.com/wp-content/uploads/2024/09/np2020-2.pdf</t>
  </si>
  <si>
    <t>Buenaventura – Comunicado COVID-19, marzo 2020</t>
  </si>
  <si>
    <t>Restricciones gubernamentales por pandemia</t>
  </si>
  <si>
    <t>COVID-19</t>
  </si>
  <si>
    <t>Pérdida neta afectada por menor volumen de ventas.</t>
  </si>
  <si>
    <t>Memoria Anual 2020</t>
  </si>
  <si>
    <t>Ratio reportado al cierre del ejercicio.</t>
  </si>
  <si>
    <t>En 2020 se prepararon los EIAs de Yumpaq y Trapiche bajo supervisión de SENACE.</t>
  </si>
  <si>
    <t>https://buenaventura.com/wp-content/uploads/2024/09/Form-20-F-2021.pdf</t>
  </si>
  <si>
    <t>Buenaventura – Form 20-F 2021 (comparativo 2020)</t>
  </si>
  <si>
    <t>Preparación de EIAs bajo SENACE</t>
  </si>
  <si>
    <t>Yumpaq y Trapiche</t>
  </si>
  <si>
    <t>Diversificación interna de ventas: oro 34%, plata 30%, cobre 18%, zinc 12% y plomo 6%.</t>
  </si>
  <si>
    <t>metales</t>
  </si>
  <si>
    <t>Número de metales con participación en ventas</t>
  </si>
  <si>
    <t>Diversificación de ventas por metales</t>
  </si>
  <si>
    <t>La caja aumentó de US$210.0 a US$235.4 millones.</t>
  </si>
  <si>
    <t>La compañía identifica protestas, demandas sociales y bloqueos como factores que pueden afectar las operaciones.</t>
  </si>
  <si>
    <t>https://buenaventura.com/wp-content/uploads/2024/09/Form-20-F-2019.pdf</t>
  </si>
  <si>
    <t>Buenaventura – Form 20-F 2019</t>
  </si>
  <si>
    <t>Riesgo de protestas y conflictos sociales</t>
  </si>
  <si>
    <t>Pérdida neta del ejercicio 2019.</t>
  </si>
  <si>
    <t>Aumento del apalancamiento respecto de 2018.</t>
  </si>
  <si>
    <t>Memoria Anual 2019</t>
  </si>
  <si>
    <t>La compañía reportó US$2.53 millones de exploración en Yumpaq durante 2019, reflejando continuidad del potencial de crecimiento del proyecto.</t>
  </si>
  <si>
    <t>https://www.buenaventura.com/wp-content/uploads/2024/09/Form-20-F-2019.pdf</t>
  </si>
  <si>
    <t>Gasto de exploración en proyecto</t>
  </si>
  <si>
    <t>Yumpaq</t>
  </si>
  <si>
    <t>Posición de caja reportada al cierre del ejercicio.</t>
  </si>
  <si>
    <t>El precio del cobre cayó frente a 2017, mostrando exposición a precios internacionales.</t>
  </si>
  <si>
    <t>Memoria Anual 2018</t>
  </si>
  <si>
    <t>US$/t</t>
  </si>
  <si>
    <t>Precio de cierre</t>
  </si>
  <si>
    <t>Precio del cobre</t>
  </si>
  <si>
    <t>Pérdida neta asociada principalmente a efectos de Cerro Verde.</t>
  </si>
  <si>
    <t>La compañía reportó US$18.05 millones de exploración en Yumpaq durante 2018, reflejando potencial de crecimiento de reservas.</t>
  </si>
  <si>
    <t>Buenaventura – Form 20-F 2019 (comparativo 2018)</t>
  </si>
  <si>
    <t>La caja aumentó desde US$214.6 millones.</t>
  </si>
  <si>
    <t>Reducción desde 1.38x en 2017.</t>
  </si>
  <si>
    <t>Riesgo externo asociado a la fluctuación de precios de oro, plata, cobre y otros metales.</t>
  </si>
  <si>
    <t>Buenaventura – Memoria Anual 2017</t>
  </si>
  <si>
    <t>Volatilidad de precios internacionales</t>
  </si>
  <si>
    <t>Precios de metales</t>
  </si>
  <si>
    <t>El retraso afectó la posición de caja y elevó necesidades de capital de trabajo.</t>
  </si>
  <si>
    <t>Memoria Anual 2017</t>
  </si>
  <si>
    <t>Retraso de puesta en marcha comercial</t>
  </si>
  <si>
    <t>El EIA de San Gabriel fue aprobado el 31 de marzo de 2017 y se inició la prefactibilidad.</t>
  </si>
  <si>
    <t>https://buenaventura.com/wp-content/uploads/2024/09/170546.pdf</t>
  </si>
  <si>
    <t>Buenaventura – Resultados 1Q17 / San Gabriel</t>
  </si>
  <si>
    <t>Aprobación del EIA</t>
  </si>
  <si>
    <t>Oro, plata, cobre, zinc y plomo.</t>
  </si>
  <si>
    <t>Retorno a utilidad consolidada después de la pérdida de 2016.</t>
  </si>
  <si>
    <t>Mejora de la posición de deuda.</t>
  </si>
  <si>
    <t>Riesgo externo asociado a la fluctuación de los precios internacionales de los metales.</t>
  </si>
  <si>
    <t>https://buenaventura.com/reportes-20f/</t>
  </si>
  <si>
    <t>Buenaventura – Form 20-F 2016</t>
  </si>
  <si>
    <t>Exposición a volatilidad de precios internacionales</t>
  </si>
  <si>
    <t>Pérdida neta consolidada, principalmente asociada a Yanacocha.</t>
  </si>
  <si>
    <t>Memoria Anual 2016</t>
  </si>
  <si>
    <t>Proyecto concluido; se esperaba plena capacidad en 2017.</t>
  </si>
  <si>
    <t>Inversión acumulada del proyecto</t>
  </si>
  <si>
    <t>Primera barra doré producida en diciembre de 2016.</t>
  </si>
  <si>
    <t>Primera barra doré producida</t>
  </si>
  <si>
    <t>Reducción significativa frente a 2015.</t>
  </si>
  <si>
    <t>Factor externo señalado como presión sobre márgenes.</t>
  </si>
  <si>
    <t>Memoria Anual 2015</t>
  </si>
  <si>
    <t>Presión por caída de precios internacionales</t>
  </si>
  <si>
    <t>Pérdida neta consolidada del ejercicio.</t>
  </si>
  <si>
    <t>Form 20-F 2015</t>
  </si>
  <si>
    <t>Ratio reportado al cierre de 2015; corregido a 5.12x según la Memoria Anual 2015.</t>
  </si>
  <si>
    <t>Memoria Anual 2016 (comparativo 2015)</t>
  </si>
  <si>
    <t>El EIA de Tambomayo fue aprobado en enero de 2015 y la construcción estaba prevista para iniciar en 2Q15.</t>
  </si>
  <si>
    <t>https://buenaventura.com/wp-content/uploads/2024/09/159375.pdf</t>
  </si>
  <si>
    <t>Buenaventura – Resultados 4Q14 / proyecto Tambomayo</t>
  </si>
  <si>
    <t>Aprobación del EIA y comienzo previsto de construcción</t>
  </si>
  <si>
    <t>Oro, plata, cobre, zinc y plomo tuvieron participación en las ventas.</t>
  </si>
  <si>
    <t>Número de metales con participación relevante en ventas</t>
  </si>
  <si>
    <t>Observación</t>
  </si>
  <si>
    <t>URL fuente</t>
  </si>
  <si>
    <t>Fuente</t>
  </si>
  <si>
    <t>Indicador</t>
  </si>
  <si>
    <t>Factor</t>
  </si>
  <si>
    <t>Eje de análisis</t>
  </si>
  <si>
    <t>Tipo FODA</t>
  </si>
  <si>
    <t>No comparar directamente valores de unidades distintas. Usar Año, Tipo FODA, Eje de análisis, Indicador y Unidad como campos de segmentación.</t>
  </si>
  <si>
    <t>Power BI</t>
  </si>
  <si>
    <t>No se inventan cifras ni se usan ceros para completar años. Los factores cualitativos se registran como 1 y se explican en Observación.</t>
  </si>
  <si>
    <t>Regla de calidad</t>
  </si>
  <si>
    <t>Se priorizan Memorias Anuales, Memorias Anuales Integradas, Form 20-F, resultados y comunicados oficiales de Buenaventura.</t>
  </si>
  <si>
    <t>Fuentes</t>
  </si>
  <si>
    <t>La utilidad neta debe interpretarse considerando aproximadamente US$210 millones relacionados con la venta de Chaupiloma.</t>
  </si>
  <si>
    <t>Resultados 2024</t>
  </si>
  <si>
    <t>La utilidad neta excepcional debe interpretarse considerando el efecto de la transacción con Newmont.</t>
  </si>
  <si>
    <t>Resultados 2022</t>
  </si>
  <si>
    <t>Se reemplazaron las oportunidades basadas únicamente en CAPEX de 2019, 2021, 2022 y 2023 por factores de exploración, proyectos o mercado más defendibles.</t>
  </si>
  <si>
    <t>CAPEX</t>
  </si>
  <si>
    <t>Deuda neta / EBITDA corregida de 5.33x a 5.12x.</t>
  </si>
  <si>
    <t>Corrección 2015</t>
  </si>
  <si>
    <t>Factor externo negativo: mercado, entorno social, regulatorio, macroeconómico u otros riesgos identificados por la compañía.</t>
  </si>
  <si>
    <t>Factor interno negativo de Buenaventura.</t>
  </si>
  <si>
    <t>Perspectiva favorable de crecimiento, desarrollo, proyecto o mercado, sustentada por información corporativa; se evita usar CAPEX por sí solo como oportunidad.</t>
  </si>
  <si>
    <t>Factor interno positivo de Buenaventura.</t>
  </si>
  <si>
    <t>Los indicadores pueden variar entre años; no es necesario repetir el mismo indicador anualmente.</t>
  </si>
  <si>
    <t>Metodología</t>
  </si>
  <si>
    <t>Cada año 2015–2025 contiene como mínimo una Fortaleza, una Oportunidad, una Debilidad y una Amenaza.</t>
  </si>
  <si>
    <t>Cobertura</t>
  </si>
  <si>
    <t>BASE FINAL para Power BI — Buenaventura 2015–2025.</t>
  </si>
  <si>
    <t>Estado</t>
  </si>
  <si>
    <t>Criterio</t>
  </si>
  <si>
    <t>Aspecto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</si>
</sst>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\$#,##0"/>
    <numFmt numFmtId="166" formatCode="\$#,##0.00"/>
    <numFmt numFmtId="167" formatCode="_-[$$-80A]* #,##0.00_-;\-[$$-80A]* #,##0.00_-;_-[$$-80A]* &quot;-&quot;??_-;_-@_-"/>
    <numFmt numFmtId="168" formatCode="0.0%"/>
    <numFmt numFmtId="169" formatCode="[$$-409]#,##0.00"/>
    <numFmt numFmtId="170" formatCode="_-[$$-409]* #,##0.00_ ;_-[$$-409]* \-#,##0.00\ ;_-[$$-409]* &quot;-&quot;??_ ;_-@_ "/>
    <numFmt numFmtId="171" formatCode="0.0%;\(0.0%\);\-"/>
    <numFmt numFmtId="172" formatCode="#,##0;\(#,##0\);\-"/>
    <numFmt numFmtId="173" formatCode="0.00%;[Red]\-0.00%"/>
  </numFmts>
  <fonts count="73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i/>
      <sz val="11"/>
      <color rgb="FFFFFFFF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b/>
      <sz val="11"/>
      <color rgb="FFFFFFFF"/>
      <name val="Segoe UI"/>
      <family val="2"/>
    </font>
    <font>
      <i/>
      <sz val="9"/>
      <color rgb="FF595959"/>
      <name val="Segoe UI"/>
      <family val="2"/>
    </font>
    <font>
      <b/>
      <sz val="14"/>
      <color rgb="FFFFFFFF"/>
      <name val="Segoe U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Segoe UI"/>
      <family val="2"/>
    </font>
    <font>
      <sz val="20"/>
      <color theme="1"/>
      <name val="Angsana New"/>
      <family val="1"/>
    </font>
    <font>
      <b/>
      <sz val="25"/>
      <color theme="3"/>
      <name val="Calibri"/>
      <family val="2"/>
      <scheme val="minor"/>
    </font>
    <font>
      <b/>
      <sz val="20"/>
      <color theme="3" tint="0.39997558519241921"/>
      <name val="Angsana New"/>
      <family val="1"/>
    </font>
    <font>
      <b/>
      <sz val="30"/>
      <color theme="3" tint="0.3999755851924192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4"/>
      <color rgb="FF303030"/>
      <name val="Google Sans Text"/>
    </font>
    <font>
      <sz val="14"/>
      <color rgb="FF303030"/>
      <name val="Google Sans Text"/>
    </font>
    <font>
      <sz val="10"/>
      <color rgb="FF303030"/>
      <name val="Google Sans Code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8"/>
      <color rgb="FF595959"/>
      <name val="Arial"/>
      <family val="2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Calibri (Cuerpo)"/>
    </font>
    <font>
      <b/>
      <sz val="11"/>
      <color theme="1"/>
      <name val="Calibri"/>
      <family val="2"/>
    </font>
    <font>
      <sz val="13"/>
      <color rgb="FF303030"/>
      <name val="Google Sans Text"/>
    </font>
    <font>
      <sz val="13"/>
      <color rgb="FFFF0000"/>
      <name val="Google Sans Text"/>
    </font>
    <font>
      <b/>
      <sz val="11"/>
      <color theme="9"/>
      <name val="Calibri"/>
      <family val="2"/>
    </font>
    <font>
      <b/>
      <sz val="11"/>
      <color theme="2" tint="-0.499984740745262"/>
      <name val="Calibri"/>
      <family val="2"/>
    </font>
    <font>
      <b/>
      <sz val="11"/>
      <color theme="3"/>
      <name val="Calibri"/>
      <family val="2"/>
    </font>
    <font>
      <b/>
      <sz val="11"/>
      <color theme="5"/>
      <name val="Calibri"/>
      <family val="2"/>
    </font>
    <font>
      <b/>
      <sz val="11"/>
      <color theme="7"/>
      <name val="Calibri"/>
      <family val="2"/>
    </font>
    <font>
      <b/>
      <sz val="18"/>
      <name val="Calibri"/>
      <family val="2"/>
    </font>
    <font>
      <b/>
      <sz val="11"/>
      <color rgb="FFFFFFFF"/>
      <name val="Segoe U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5F8"/>
        <bgColor rgb="FFF2F5F8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theme="4" tint="0.79998168889431442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5F8"/>
      </patternFill>
    </fill>
    <fill>
      <patternFill patternType="solid">
        <fgColor theme="3"/>
        <bgColor rgb="FFFFF2CC"/>
      </patternFill>
    </fill>
    <fill>
      <patternFill patternType="solid">
        <fgColor theme="0"/>
        <bgColor rgb="FFE2EFD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2F5F8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2F5F8"/>
      </patternFill>
    </fill>
    <fill>
      <patternFill patternType="solid">
        <fgColor rgb="FFE2EFDA"/>
        <bgColor rgb="FFE2EFDA"/>
      </patternFill>
    </fill>
    <fill>
      <patternFill patternType="solid">
        <fgColor rgb="FFD6DCE4"/>
        <bgColor rgb="FFD6DCE4"/>
      </patternFill>
    </fill>
    <fill>
      <patternFill patternType="solid">
        <fgColor rgb="FF17365D"/>
        <bgColor indexed="64"/>
      </patternFill>
    </fill>
    <fill>
      <patternFill patternType="solid">
        <fgColor rgb="FF2E75B6"/>
      </patternFill>
    </fill>
    <fill>
      <patternFill patternType="solid">
        <fgColor rgb="FF44546A"/>
      </patternFill>
    </fill>
    <fill>
      <patternFill patternType="solid">
        <fgColor rgb="FFFCE4E4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D9D9"/>
      </patternFill>
    </fill>
    <fill>
      <patternFill patternType="solid">
        <fgColor rgb="FFE2EFDA"/>
        <bgColor rgb="FFD9E2F3"/>
      </patternFill>
    </fill>
    <fill>
      <patternFill patternType="solid">
        <fgColor theme="3"/>
        <bgColor rgb="FFE2EFDA"/>
      </patternFill>
    </fill>
    <fill>
      <patternFill patternType="solid">
        <fgColor theme="3" tint="0.79998168889431442"/>
        <bgColor rgb="FFE2EFDA"/>
      </patternFill>
    </fill>
    <fill>
      <patternFill patternType="solid">
        <fgColor rgb="FF002060"/>
        <bgColor rgb="FF333333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E2EFD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5" tint="0.79998168889431442"/>
        <bgColor rgb="FFE2EFDA"/>
      </patternFill>
    </fill>
    <fill>
      <patternFill patternType="solid">
        <fgColor rgb="FF002060"/>
        <bgColor rgb="FF1F38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rgb="FFE2EFDA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E2EFDA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F2F5F8"/>
      </patternFill>
    </fill>
    <fill>
      <patternFill patternType="solid">
        <fgColor rgb="FFFFFF00"/>
        <bgColor rgb="FFE2EFDA"/>
      </patternFill>
    </fill>
    <fill>
      <patternFill patternType="solid">
        <fgColor rgb="FF00B050"/>
        <bgColor indexed="64"/>
      </patternFill>
    </fill>
    <fill>
      <patternFill patternType="solid">
        <fgColor rgb="FFFFF2CC"/>
      </patternFill>
    </fill>
    <fill>
      <patternFill patternType="solid">
        <fgColor rgb="FF006B3F"/>
      </patternFill>
    </fill>
    <fill>
      <patternFill patternType="solid">
        <fgColor rgb="FFD9EAD3"/>
      </patternFill>
    </fill>
  </fills>
  <borders count="5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1F4E78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/>
      <diagonal/>
    </border>
    <border>
      <left style="thin">
        <color rgb="FFB7C9DB"/>
      </left>
      <right style="thin">
        <color rgb="FFB7C9DB"/>
      </right>
      <top style="thin">
        <color rgb="FFB7C9DB"/>
      </top>
      <bottom style="thin">
        <color rgb="FFB7C9D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7C9DB"/>
      </right>
      <top style="thin">
        <color rgb="FFB7C9DB"/>
      </top>
      <bottom style="thin">
        <color rgb="FFB7C9DB"/>
      </bottom>
      <diagonal/>
    </border>
    <border>
      <left style="thin">
        <color rgb="FFB7C9DB"/>
      </left>
      <right style="thin">
        <color rgb="FFB7C9DB"/>
      </right>
      <top/>
      <bottom style="thin">
        <color rgb="FFB7C9DB"/>
      </bottom>
      <diagonal/>
    </border>
    <border>
      <left style="thin">
        <color rgb="FFB7C9DB"/>
      </left>
      <right style="thin">
        <color rgb="FFB7C9DB"/>
      </right>
      <top style="thin">
        <color rgb="FFB7C9DB"/>
      </top>
      <bottom style="medium">
        <color indexed="64"/>
      </bottom>
      <diagonal/>
    </border>
    <border>
      <left style="thin">
        <color rgb="FFB7C9DB"/>
      </left>
      <right style="thin">
        <color rgb="FFB7C9DB"/>
      </right>
      <top style="medium">
        <color indexed="64"/>
      </top>
      <bottom style="thin">
        <color rgb="FFB7C9DB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7C9DB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BFBFBF"/>
      </right>
      <top/>
      <bottom style="medium">
        <color rgb="FF1F4E78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medium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DC"/>
      </left>
      <right style="thin">
        <color rgb="FFD9E2DC"/>
      </right>
      <top style="thin">
        <color rgb="FFD9E2DC"/>
      </top>
      <bottom style="thin">
        <color rgb="FFD9E2DC"/>
      </bottom>
      <diagonal/>
    </border>
    <border>
      <left style="thin">
        <color rgb="FFD9E2DC"/>
      </left>
      <right style="thin">
        <color rgb="FFD9E2DC"/>
      </right>
      <top style="thin">
        <color rgb="FFD9E2DC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D9E2DC"/>
      </right>
      <top style="thin">
        <color rgb="FFD9E2DC"/>
      </top>
      <bottom/>
      <diagonal/>
    </border>
    <border>
      <left style="thin">
        <color rgb="FFD9E2DC"/>
      </left>
      <right/>
      <top style="thin">
        <color rgb="FFD9E2DC"/>
      </top>
      <bottom/>
      <diagonal/>
    </border>
  </borders>
  <cellStyleXfs count="5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8" fillId="0" borderId="0"/>
  </cellStyleXfs>
  <cellXfs count="333">
    <xf numFmtId="0" fontId="0" fillId="0" borderId="0" xfId="0"/>
    <xf numFmtId="0" fontId="3" fillId="0" borderId="0" xfId="0" applyFont="1"/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5" fontId="3" fillId="5" borderId="0" xfId="0" applyNumberFormat="1" applyFont="1" applyFill="1"/>
    <xf numFmtId="0" fontId="3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right" vertical="center"/>
    </xf>
    <xf numFmtId="167" fontId="4" fillId="4" borderId="1" xfId="0" applyNumberFormat="1" applyFont="1" applyFill="1" applyBorder="1" applyAlignment="1">
      <alignment horizontal="right" vertical="center"/>
    </xf>
    <xf numFmtId="9" fontId="4" fillId="0" borderId="1" xfId="2" applyFont="1" applyBorder="1" applyAlignment="1">
      <alignment horizontal="center" vertical="center"/>
    </xf>
    <xf numFmtId="9" fontId="4" fillId="4" borderId="1" xfId="2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9" fontId="6" fillId="7" borderId="1" xfId="2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0" fillId="14" borderId="0" xfId="0" applyFill="1"/>
    <xf numFmtId="0" fontId="9" fillId="14" borderId="0" xfId="0" applyFont="1" applyFill="1"/>
    <xf numFmtId="166" fontId="4" fillId="7" borderId="1" xfId="0" applyNumberFormat="1" applyFont="1" applyFill="1" applyBorder="1" applyAlignment="1">
      <alignment horizontal="right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4" fillId="0" borderId="0" xfId="0" applyFont="1"/>
    <xf numFmtId="0" fontId="15" fillId="12" borderId="0" xfId="0" applyFont="1" applyFill="1"/>
    <xf numFmtId="0" fontId="0" fillId="12" borderId="0" xfId="0" applyFill="1"/>
    <xf numFmtId="0" fontId="13" fillId="12" borderId="0" xfId="0" applyFont="1" applyFill="1"/>
    <xf numFmtId="3" fontId="3" fillId="12" borderId="1" xfId="0" applyNumberFormat="1" applyFont="1" applyFill="1" applyBorder="1" applyAlignment="1">
      <alignment horizontal="right" vertical="center"/>
    </xf>
    <xf numFmtId="3" fontId="3" fillId="13" borderId="1" xfId="0" applyNumberFormat="1" applyFont="1" applyFill="1" applyBorder="1" applyAlignment="1">
      <alignment horizontal="right" vertical="center"/>
    </xf>
    <xf numFmtId="167" fontId="4" fillId="12" borderId="1" xfId="0" applyNumberFormat="1" applyFont="1" applyFill="1" applyBorder="1" applyAlignment="1">
      <alignment horizontal="center" vertical="center"/>
    </xf>
    <xf numFmtId="3" fontId="4" fillId="15" borderId="1" xfId="0" applyNumberFormat="1" applyFont="1" applyFill="1" applyBorder="1" applyAlignment="1">
      <alignment horizontal="center" vertical="center"/>
    </xf>
    <xf numFmtId="3" fontId="4" fillId="16" borderId="1" xfId="0" applyNumberFormat="1" applyFont="1" applyFill="1" applyBorder="1" applyAlignment="1">
      <alignment horizontal="center" vertical="center"/>
    </xf>
    <xf numFmtId="167" fontId="4" fillId="15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right" vertical="center"/>
    </xf>
    <xf numFmtId="166" fontId="5" fillId="2" borderId="5" xfId="0" applyNumberFormat="1" applyFont="1" applyFill="1" applyBorder="1" applyAlignment="1">
      <alignment horizontal="right" vertical="center"/>
    </xf>
    <xf numFmtId="9" fontId="5" fillId="2" borderId="5" xfId="2" applyFont="1" applyFill="1" applyBorder="1" applyAlignment="1">
      <alignment horizontal="center" vertical="center"/>
    </xf>
    <xf numFmtId="167" fontId="5" fillId="2" borderId="5" xfId="1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horizontal="center" vertical="center" wrapText="1"/>
    </xf>
    <xf numFmtId="10" fontId="17" fillId="0" borderId="9" xfId="0" applyNumberFormat="1" applyFont="1" applyBorder="1"/>
    <xf numFmtId="166" fontId="17" fillId="0" borderId="9" xfId="0" applyNumberFormat="1" applyFont="1" applyBorder="1"/>
    <xf numFmtId="166" fontId="18" fillId="0" borderId="9" xfId="0" applyNumberFormat="1" applyFont="1" applyBorder="1"/>
    <xf numFmtId="10" fontId="18" fillId="18" borderId="10" xfId="0" applyNumberFormat="1" applyFont="1" applyFill="1" applyBorder="1"/>
    <xf numFmtId="166" fontId="18" fillId="18" borderId="10" xfId="0" applyNumberFormat="1" applyFont="1" applyFill="1" applyBorder="1"/>
    <xf numFmtId="0" fontId="18" fillId="0" borderId="0" xfId="0" applyFont="1"/>
    <xf numFmtId="0" fontId="18" fillId="0" borderId="9" xfId="0" applyFont="1" applyBorder="1"/>
    <xf numFmtId="0" fontId="17" fillId="0" borderId="9" xfId="0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5" fillId="2" borderId="5" xfId="2" applyFont="1" applyFill="1" applyBorder="1" applyAlignment="1">
      <alignment horizontal="right" vertical="center"/>
    </xf>
    <xf numFmtId="9" fontId="0" fillId="0" borderId="0" xfId="2" applyFont="1"/>
    <xf numFmtId="0" fontId="11" fillId="14" borderId="0" xfId="0" applyFont="1" applyFill="1"/>
    <xf numFmtId="10" fontId="20" fillId="0" borderId="0" xfId="0" applyNumberFormat="1" applyFont="1"/>
    <xf numFmtId="0" fontId="20" fillId="0" borderId="0" xfId="0" applyFont="1"/>
    <xf numFmtId="0" fontId="19" fillId="0" borderId="0" xfId="0" applyFont="1"/>
    <xf numFmtId="0" fontId="21" fillId="0" borderId="0" xfId="0" applyFont="1"/>
    <xf numFmtId="169" fontId="0" fillId="0" borderId="0" xfId="0" applyNumberFormat="1"/>
    <xf numFmtId="0" fontId="0" fillId="0" borderId="11" xfId="0" applyBorder="1"/>
    <xf numFmtId="2" fontId="0" fillId="0" borderId="11" xfId="0" applyNumberFormat="1" applyBorder="1"/>
    <xf numFmtId="3" fontId="0" fillId="0" borderId="11" xfId="0" applyNumberFormat="1" applyBorder="1"/>
    <xf numFmtId="168" fontId="0" fillId="0" borderId="11" xfId="0" applyNumberFormat="1" applyBorder="1"/>
    <xf numFmtId="0" fontId="26" fillId="20" borderId="0" xfId="0" applyFont="1" applyFill="1"/>
    <xf numFmtId="0" fontId="0" fillId="20" borderId="0" xfId="0" applyFill="1"/>
    <xf numFmtId="0" fontId="27" fillId="21" borderId="1" xfId="0" applyFont="1" applyFill="1" applyBorder="1" applyAlignment="1">
      <alignment horizontal="center" vertical="center" wrapText="1"/>
    </xf>
    <xf numFmtId="0" fontId="28" fillId="0" borderId="0" xfId="0" applyFont="1"/>
    <xf numFmtId="171" fontId="25" fillId="22" borderId="1" xfId="0" applyNumberFormat="1" applyFont="1" applyFill="1" applyBorder="1"/>
    <xf numFmtId="171" fontId="25" fillId="23" borderId="1" xfId="0" applyNumberFormat="1" applyFont="1" applyFill="1" applyBorder="1"/>
    <xf numFmtId="170" fontId="0" fillId="0" borderId="0" xfId="0" applyNumberFormat="1"/>
    <xf numFmtId="0" fontId="24" fillId="0" borderId="0" xfId="0" applyFont="1"/>
    <xf numFmtId="9" fontId="23" fillId="19" borderId="11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5" xfId="0" applyBorder="1"/>
    <xf numFmtId="0" fontId="24" fillId="25" borderId="14" xfId="0" applyFont="1" applyFill="1" applyBorder="1"/>
    <xf numFmtId="43" fontId="0" fillId="0" borderId="0" xfId="3" applyFont="1"/>
    <xf numFmtId="0" fontId="23" fillId="8" borderId="11" xfId="0" applyFont="1" applyFill="1" applyBorder="1" applyAlignment="1">
      <alignment horizontal="center" wrapText="1"/>
    </xf>
    <xf numFmtId="0" fontId="32" fillId="0" borderId="11" xfId="0" applyFont="1" applyBorder="1" applyAlignment="1">
      <alignment horizontal="right"/>
    </xf>
    <xf numFmtId="43" fontId="0" fillId="0" borderId="11" xfId="3" applyFont="1" applyBorder="1"/>
    <xf numFmtId="43" fontId="23" fillId="19" borderId="13" xfId="3" applyFont="1" applyFill="1" applyBorder="1" applyAlignment="1">
      <alignment wrapText="1"/>
    </xf>
    <xf numFmtId="43" fontId="23" fillId="19" borderId="14" xfId="3" applyFont="1" applyFill="1" applyBorder="1" applyAlignment="1">
      <alignment horizontal="center" wrapText="1"/>
    </xf>
    <xf numFmtId="0" fontId="33" fillId="26" borderId="17" xfId="0" applyFont="1" applyFill="1" applyBorder="1" applyAlignment="1">
      <alignment horizontal="right"/>
    </xf>
    <xf numFmtId="0" fontId="33" fillId="26" borderId="19" xfId="0" applyFont="1" applyFill="1" applyBorder="1" applyAlignment="1">
      <alignment horizontal="right"/>
    </xf>
    <xf numFmtId="0" fontId="23" fillId="30" borderId="11" xfId="0" applyFont="1" applyFill="1" applyBorder="1" applyAlignment="1">
      <alignment horizontal="center" wrapText="1"/>
    </xf>
    <xf numFmtId="0" fontId="10" fillId="0" borderId="11" xfId="0" applyFont="1" applyBorder="1"/>
    <xf numFmtId="0" fontId="24" fillId="31" borderId="16" xfId="0" applyFont="1" applyFill="1" applyBorder="1"/>
    <xf numFmtId="0" fontId="24" fillId="32" borderId="16" xfId="0" applyFont="1" applyFill="1" applyBorder="1"/>
    <xf numFmtId="0" fontId="24" fillId="24" borderId="16" xfId="0" applyFont="1" applyFill="1" applyBorder="1"/>
    <xf numFmtId="0" fontId="35" fillId="33" borderId="0" xfId="0" applyFont="1" applyFill="1"/>
    <xf numFmtId="3" fontId="23" fillId="33" borderId="12" xfId="0" applyNumberFormat="1" applyFont="1" applyFill="1" applyBorder="1" applyAlignment="1">
      <alignment horizontal="center" wrapText="1"/>
    </xf>
    <xf numFmtId="3" fontId="0" fillId="8" borderId="11" xfId="0" applyNumberFormat="1" applyFill="1" applyBorder="1"/>
    <xf numFmtId="3" fontId="0" fillId="24" borderId="11" xfId="0" applyNumberFormat="1" applyFill="1" applyBorder="1"/>
    <xf numFmtId="0" fontId="16" fillId="2" borderId="22" xfId="0" applyFont="1" applyFill="1" applyBorder="1" applyAlignment="1">
      <alignment horizontal="center" vertical="center" wrapText="1"/>
    </xf>
    <xf numFmtId="0" fontId="18" fillId="12" borderId="9" xfId="0" applyFont="1" applyFill="1" applyBorder="1"/>
    <xf numFmtId="166" fontId="18" fillId="7" borderId="9" xfId="0" applyNumberFormat="1" applyFont="1" applyFill="1" applyBorder="1"/>
    <xf numFmtId="10" fontId="18" fillId="7" borderId="9" xfId="0" applyNumberFormat="1" applyFont="1" applyFill="1" applyBorder="1"/>
    <xf numFmtId="43" fontId="0" fillId="0" borderId="0" xfId="0" applyNumberFormat="1"/>
    <xf numFmtId="0" fontId="38" fillId="0" borderId="0" xfId="4"/>
    <xf numFmtId="0" fontId="39" fillId="0" borderId="0" xfId="4" applyFont="1"/>
    <xf numFmtId="172" fontId="42" fillId="36" borderId="23" xfId="4" applyNumberFormat="1" applyFont="1" applyFill="1" applyBorder="1"/>
    <xf numFmtId="0" fontId="41" fillId="0" borderId="23" xfId="4" applyFont="1" applyBorder="1"/>
    <xf numFmtId="172" fontId="41" fillId="0" borderId="23" xfId="4" applyNumberFormat="1" applyFont="1" applyBorder="1"/>
    <xf numFmtId="0" fontId="44" fillId="0" borderId="0" xfId="4" applyFont="1"/>
    <xf numFmtId="10" fontId="41" fillId="0" borderId="23" xfId="4" applyNumberFormat="1" applyFont="1" applyBorder="1"/>
    <xf numFmtId="0" fontId="39" fillId="0" borderId="0" xfId="4" applyFont="1" applyAlignment="1">
      <alignment indent="1"/>
    </xf>
    <xf numFmtId="0" fontId="45" fillId="38" borderId="24" xfId="4" applyFont="1" applyFill="1" applyBorder="1"/>
    <xf numFmtId="172" fontId="46" fillId="38" borderId="24" xfId="4" applyNumberFormat="1" applyFont="1" applyFill="1" applyBorder="1"/>
    <xf numFmtId="0" fontId="48" fillId="0" borderId="9" xfId="0" applyFont="1" applyBorder="1" applyAlignment="1">
      <alignment horizontal="left" vertical="center"/>
    </xf>
    <xf numFmtId="166" fontId="50" fillId="39" borderId="0" xfId="0" applyNumberFormat="1" applyFont="1" applyFill="1"/>
    <xf numFmtId="0" fontId="49" fillId="0" borderId="9" xfId="0" applyFont="1" applyBorder="1" applyAlignment="1">
      <alignment horizontal="left" wrapText="1"/>
    </xf>
    <xf numFmtId="0" fontId="48" fillId="0" borderId="25" xfId="0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5" fillId="3" borderId="26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166" fontId="4" fillId="0" borderId="28" xfId="0" applyNumberFormat="1" applyFont="1" applyBorder="1" applyAlignment="1">
      <alignment horizontal="right" vertical="center"/>
    </xf>
    <xf numFmtId="0" fontId="6" fillId="0" borderId="28" xfId="0" applyFont="1" applyBorder="1" applyAlignment="1">
      <alignment horizontal="center" vertical="center"/>
    </xf>
    <xf numFmtId="166" fontId="3" fillId="5" borderId="28" xfId="0" applyNumberFormat="1" applyFont="1" applyFill="1" applyBorder="1" applyAlignment="1">
      <alignment horizontal="right" vertical="center"/>
    </xf>
    <xf numFmtId="0" fontId="6" fillId="7" borderId="28" xfId="0" applyFont="1" applyFill="1" applyBorder="1" applyAlignment="1">
      <alignment horizontal="center" vertical="center"/>
    </xf>
    <xf numFmtId="9" fontId="50" fillId="39" borderId="0" xfId="2" applyFont="1" applyFill="1"/>
    <xf numFmtId="10" fontId="49" fillId="40" borderId="9" xfId="0" applyNumberFormat="1" applyFont="1" applyFill="1" applyBorder="1" applyAlignment="1">
      <alignment horizontal="right" vertical="center"/>
    </xf>
    <xf numFmtId="43" fontId="4" fillId="12" borderId="1" xfId="3" applyFont="1" applyFill="1" applyBorder="1" applyAlignment="1">
      <alignment horizontal="center" vertical="center"/>
    </xf>
    <xf numFmtId="43" fontId="4" fillId="13" borderId="1" xfId="3" applyFont="1" applyFill="1" applyBorder="1" applyAlignment="1">
      <alignment horizontal="center" vertical="center"/>
    </xf>
    <xf numFmtId="172" fontId="51" fillId="12" borderId="23" xfId="4" applyNumberFormat="1" applyFont="1" applyFill="1" applyBorder="1"/>
    <xf numFmtId="0" fontId="40" fillId="41" borderId="0" xfId="4" applyFont="1" applyFill="1"/>
    <xf numFmtId="0" fontId="38" fillId="41" borderId="0" xfId="4" applyFill="1"/>
    <xf numFmtId="0" fontId="52" fillId="0" borderId="29" xfId="4" applyFont="1" applyBorder="1" applyAlignment="1">
      <alignment horizontal="center"/>
    </xf>
    <xf numFmtId="10" fontId="41" fillId="0" borderId="30" xfId="4" applyNumberFormat="1" applyFont="1" applyBorder="1"/>
    <xf numFmtId="0" fontId="44" fillId="37" borderId="34" xfId="4" applyFont="1" applyFill="1" applyBorder="1"/>
    <xf numFmtId="172" fontId="44" fillId="37" borderId="35" xfId="4" applyNumberFormat="1" applyFont="1" applyFill="1" applyBorder="1"/>
    <xf numFmtId="10" fontId="44" fillId="37" borderId="36" xfId="4" applyNumberFormat="1" applyFont="1" applyFill="1" applyBorder="1"/>
    <xf numFmtId="166" fontId="56" fillId="0" borderId="9" xfId="0" applyNumberFormat="1" applyFont="1" applyBorder="1"/>
    <xf numFmtId="166" fontId="47" fillId="0" borderId="9" xfId="0" applyNumberFormat="1" applyFont="1" applyBorder="1"/>
    <xf numFmtId="166" fontId="56" fillId="17" borderId="9" xfId="0" applyNumberFormat="1" applyFont="1" applyFill="1" applyBorder="1"/>
    <xf numFmtId="0" fontId="3" fillId="42" borderId="1" xfId="0" applyFont="1" applyFill="1" applyBorder="1" applyAlignment="1">
      <alignment horizontal="center" vertical="center"/>
    </xf>
    <xf numFmtId="167" fontId="4" fillId="43" borderId="1" xfId="0" applyNumberFormat="1" applyFont="1" applyFill="1" applyBorder="1" applyAlignment="1">
      <alignment horizontal="center" vertical="center"/>
    </xf>
    <xf numFmtId="167" fontId="3" fillId="42" borderId="1" xfId="0" applyNumberFormat="1" applyFont="1" applyFill="1" applyBorder="1" applyAlignment="1">
      <alignment horizontal="center" vertical="center"/>
    </xf>
    <xf numFmtId="9" fontId="6" fillId="43" borderId="1" xfId="2" applyFont="1" applyFill="1" applyBorder="1" applyAlignment="1">
      <alignment horizontal="center" vertical="center"/>
    </xf>
    <xf numFmtId="10" fontId="17" fillId="42" borderId="9" xfId="0" applyNumberFormat="1" applyFont="1" applyFill="1" applyBorder="1"/>
    <xf numFmtId="166" fontId="17" fillId="42" borderId="9" xfId="0" applyNumberFormat="1" applyFont="1" applyFill="1" applyBorder="1"/>
    <xf numFmtId="166" fontId="18" fillId="42" borderId="9" xfId="0" applyNumberFormat="1" applyFont="1" applyFill="1" applyBorder="1"/>
    <xf numFmtId="0" fontId="57" fillId="0" borderId="0" xfId="0" applyFont="1"/>
    <xf numFmtId="9" fontId="0" fillId="0" borderId="0" xfId="2" applyFont="1" applyAlignment="1">
      <alignment horizontal="center"/>
    </xf>
    <xf numFmtId="43" fontId="32" fillId="0" borderId="11" xfId="3" applyFont="1" applyBorder="1"/>
    <xf numFmtId="43" fontId="0" fillId="0" borderId="15" xfId="3" applyFont="1" applyBorder="1"/>
    <xf numFmtId="43" fontId="24" fillId="31" borderId="16" xfId="3" applyFont="1" applyFill="1" applyBorder="1"/>
    <xf numFmtId="43" fontId="24" fillId="32" borderId="16" xfId="3" applyFont="1" applyFill="1" applyBorder="1"/>
    <xf numFmtId="43" fontId="24" fillId="24" borderId="16" xfId="3" applyFont="1" applyFill="1" applyBorder="1"/>
    <xf numFmtId="43" fontId="24" fillId="25" borderId="14" xfId="3" applyFont="1" applyFill="1" applyBorder="1"/>
    <xf numFmtId="0" fontId="58" fillId="0" borderId="0" xfId="0" applyFont="1"/>
    <xf numFmtId="0" fontId="17" fillId="44" borderId="9" xfId="0" applyFont="1" applyFill="1" applyBorder="1"/>
    <xf numFmtId="10" fontId="17" fillId="44" borderId="9" xfId="0" applyNumberFormat="1" applyFont="1" applyFill="1" applyBorder="1"/>
    <xf numFmtId="0" fontId="17" fillId="45" borderId="9" xfId="0" applyFont="1" applyFill="1" applyBorder="1"/>
    <xf numFmtId="10" fontId="17" fillId="45" borderId="9" xfId="0" applyNumberFormat="1" applyFont="1" applyFill="1" applyBorder="1"/>
    <xf numFmtId="0" fontId="18" fillId="45" borderId="9" xfId="0" applyFont="1" applyFill="1" applyBorder="1"/>
    <xf numFmtId="166" fontId="18" fillId="46" borderId="9" xfId="0" applyNumberFormat="1" applyFont="1" applyFill="1" applyBorder="1"/>
    <xf numFmtId="10" fontId="18" fillId="46" borderId="9" xfId="0" applyNumberFormat="1" applyFont="1" applyFill="1" applyBorder="1"/>
    <xf numFmtId="0" fontId="18" fillId="44" borderId="9" xfId="0" applyFont="1" applyFill="1" applyBorder="1"/>
    <xf numFmtId="166" fontId="18" fillId="47" borderId="9" xfId="0" applyNumberFormat="1" applyFont="1" applyFill="1" applyBorder="1"/>
    <xf numFmtId="10" fontId="18" fillId="47" borderId="9" xfId="0" applyNumberFormat="1" applyFont="1" applyFill="1" applyBorder="1"/>
    <xf numFmtId="0" fontId="43" fillId="48" borderId="31" xfId="4" applyFont="1" applyFill="1" applyBorder="1" applyAlignment="1">
      <alignment horizontal="center" vertical="center" wrapText="1"/>
    </xf>
    <xf numFmtId="0" fontId="43" fillId="48" borderId="32" xfId="4" applyFont="1" applyFill="1" applyBorder="1" applyAlignment="1">
      <alignment horizontal="center" vertical="center" wrapText="1"/>
    </xf>
    <xf numFmtId="0" fontId="43" fillId="48" borderId="33" xfId="4" applyFont="1" applyFill="1" applyBorder="1" applyAlignment="1">
      <alignment horizontal="center" vertical="center" wrapText="1"/>
    </xf>
    <xf numFmtId="0" fontId="17" fillId="32" borderId="9" xfId="0" applyFont="1" applyFill="1" applyBorder="1"/>
    <xf numFmtId="10" fontId="17" fillId="32" borderId="9" xfId="0" applyNumberFormat="1" applyFont="1" applyFill="1" applyBorder="1"/>
    <xf numFmtId="0" fontId="18" fillId="32" borderId="9" xfId="0" applyFont="1" applyFill="1" applyBorder="1"/>
    <xf numFmtId="166" fontId="18" fillId="50" borderId="9" xfId="0" applyNumberFormat="1" applyFont="1" applyFill="1" applyBorder="1"/>
    <xf numFmtId="10" fontId="18" fillId="50" borderId="9" xfId="0" applyNumberFormat="1" applyFont="1" applyFill="1" applyBorder="1"/>
    <xf numFmtId="0" fontId="17" fillId="12" borderId="9" xfId="0" applyFont="1" applyFill="1" applyBorder="1"/>
    <xf numFmtId="10" fontId="17" fillId="12" borderId="9" xfId="0" applyNumberFormat="1" applyFont="1" applyFill="1" applyBorder="1"/>
    <xf numFmtId="0" fontId="17" fillId="54" borderId="9" xfId="0" applyFont="1" applyFill="1" applyBorder="1"/>
    <xf numFmtId="10" fontId="17" fillId="54" borderId="9" xfId="0" applyNumberFormat="1" applyFont="1" applyFill="1" applyBorder="1"/>
    <xf numFmtId="0" fontId="18" fillId="54" borderId="9" xfId="0" applyFont="1" applyFill="1" applyBorder="1"/>
    <xf numFmtId="166" fontId="18" fillId="55" borderId="9" xfId="0" applyNumberFormat="1" applyFont="1" applyFill="1" applyBorder="1"/>
    <xf numFmtId="10" fontId="18" fillId="55" borderId="9" xfId="0" applyNumberFormat="1" applyFont="1" applyFill="1" applyBorder="1"/>
    <xf numFmtId="0" fontId="65" fillId="3" borderId="4" xfId="0" applyFont="1" applyFill="1" applyBorder="1" applyAlignment="1">
      <alignment horizontal="center" vertical="center" wrapText="1"/>
    </xf>
    <xf numFmtId="0" fontId="16" fillId="2" borderId="44" xfId="0" applyFont="1" applyFill="1" applyBorder="1" applyAlignment="1">
      <alignment horizontal="center" vertical="center" wrapText="1"/>
    </xf>
    <xf numFmtId="10" fontId="47" fillId="15" borderId="9" xfId="0" applyNumberFormat="1" applyFont="1" applyFill="1" applyBorder="1"/>
    <xf numFmtId="166" fontId="18" fillId="56" borderId="9" xfId="0" applyNumberFormat="1" applyFont="1" applyFill="1" applyBorder="1"/>
    <xf numFmtId="166" fontId="47" fillId="42" borderId="9" xfId="0" applyNumberFormat="1" applyFont="1" applyFill="1" applyBorder="1"/>
    <xf numFmtId="10" fontId="47" fillId="42" borderId="9" xfId="0" applyNumberFormat="1" applyFont="1" applyFill="1" applyBorder="1"/>
    <xf numFmtId="166" fontId="56" fillId="43" borderId="9" xfId="0" applyNumberFormat="1" applyFont="1" applyFill="1" applyBorder="1"/>
    <xf numFmtId="166" fontId="56" fillId="42" borderId="9" xfId="0" applyNumberFormat="1" applyFont="1" applyFill="1" applyBorder="1"/>
    <xf numFmtId="0" fontId="3" fillId="57" borderId="1" xfId="0" applyFont="1" applyFill="1" applyBorder="1" applyAlignment="1">
      <alignment horizontal="center" vertical="center"/>
    </xf>
    <xf numFmtId="167" fontId="4" fillId="58" borderId="1" xfId="0" applyNumberFormat="1" applyFont="1" applyFill="1" applyBorder="1" applyAlignment="1">
      <alignment horizontal="center" vertical="center"/>
    </xf>
    <xf numFmtId="167" fontId="3" fillId="24" borderId="1" xfId="0" applyNumberFormat="1" applyFont="1" applyFill="1" applyBorder="1" applyAlignment="1">
      <alignment horizontal="center" vertical="center"/>
    </xf>
    <xf numFmtId="9" fontId="6" fillId="58" borderId="1" xfId="2" applyFont="1" applyFill="1" applyBorder="1" applyAlignment="1">
      <alignment horizontal="center" vertical="center"/>
    </xf>
    <xf numFmtId="10" fontId="17" fillId="24" borderId="9" xfId="0" applyNumberFormat="1" applyFont="1" applyFill="1" applyBorder="1"/>
    <xf numFmtId="166" fontId="47" fillId="24" borderId="9" xfId="0" applyNumberFormat="1" applyFont="1" applyFill="1" applyBorder="1"/>
    <xf numFmtId="10" fontId="47" fillId="24" borderId="9" xfId="0" applyNumberFormat="1" applyFont="1" applyFill="1" applyBorder="1"/>
    <xf numFmtId="166" fontId="66" fillId="24" borderId="9" xfId="0" applyNumberFormat="1" applyFont="1" applyFill="1" applyBorder="1"/>
    <xf numFmtId="166" fontId="47" fillId="59" borderId="9" xfId="0" applyNumberFormat="1" applyFont="1" applyFill="1" applyBorder="1"/>
    <xf numFmtId="166" fontId="67" fillId="33" borderId="9" xfId="0" applyNumberFormat="1" applyFont="1" applyFill="1" applyBorder="1"/>
    <xf numFmtId="166" fontId="0" fillId="0" borderId="0" xfId="0" applyNumberFormat="1"/>
    <xf numFmtId="4" fontId="0" fillId="0" borderId="0" xfId="0" applyNumberFormat="1"/>
    <xf numFmtId="43" fontId="0" fillId="0" borderId="18" xfId="0" applyNumberFormat="1" applyBorder="1"/>
    <xf numFmtId="0" fontId="68" fillId="26" borderId="19" xfId="0" applyFont="1" applyFill="1" applyBorder="1" applyAlignment="1">
      <alignment horizontal="left"/>
    </xf>
    <xf numFmtId="0" fontId="68" fillId="26" borderId="17" xfId="0" applyFont="1" applyFill="1" applyBorder="1" applyAlignment="1">
      <alignment horizontal="left"/>
    </xf>
    <xf numFmtId="0" fontId="0" fillId="0" borderId="20" xfId="0" applyBorder="1"/>
    <xf numFmtId="0" fontId="69" fillId="27" borderId="0" xfId="0" applyFont="1" applyFill="1" applyAlignment="1">
      <alignment horizontal="left"/>
    </xf>
    <xf numFmtId="0" fontId="70" fillId="27" borderId="20" xfId="0" applyFont="1" applyFill="1" applyBorder="1" applyAlignment="1">
      <alignment horizontal="left"/>
    </xf>
    <xf numFmtId="0" fontId="69" fillId="27" borderId="18" xfId="0" applyFont="1" applyFill="1" applyBorder="1" applyAlignment="1">
      <alignment horizontal="left"/>
    </xf>
    <xf numFmtId="0" fontId="0" fillId="28" borderId="0" xfId="0" applyFill="1"/>
    <xf numFmtId="0" fontId="34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2" fillId="3" borderId="0" xfId="0" applyFont="1" applyFill="1" applyAlignment="1">
      <alignment horizontal="center" vertical="center"/>
    </xf>
    <xf numFmtId="0" fontId="14" fillId="0" borderId="0" xfId="0" applyFont="1"/>
    <xf numFmtId="0" fontId="3" fillId="4" borderId="6" xfId="0" applyFont="1" applyFill="1" applyBorder="1" applyAlignment="1">
      <alignment horizontal="right" vertical="center"/>
    </xf>
    <xf numFmtId="0" fontId="0" fillId="4" borderId="7" xfId="0" applyFill="1" applyBorder="1"/>
    <xf numFmtId="0" fontId="5" fillId="3" borderId="3" xfId="0" applyFont="1" applyFill="1" applyBorder="1" applyAlignment="1">
      <alignment horizontal="center" vertical="center"/>
    </xf>
    <xf numFmtId="0" fontId="0" fillId="0" borderId="3" xfId="0" applyBorder="1"/>
    <xf numFmtId="9" fontId="3" fillId="11" borderId="6" xfId="2" applyFont="1" applyFill="1" applyBorder="1" applyAlignment="1">
      <alignment horizontal="center" vertical="center"/>
    </xf>
    <xf numFmtId="9" fontId="0" fillId="8" borderId="8" xfId="2" applyFont="1" applyFill="1" applyBorder="1" applyAlignment="1">
      <alignment horizontal="center"/>
    </xf>
    <xf numFmtId="9" fontId="0" fillId="8" borderId="7" xfId="2" applyFont="1" applyFill="1" applyBorder="1" applyAlignment="1">
      <alignment horizontal="center"/>
    </xf>
    <xf numFmtId="0" fontId="3" fillId="0" borderId="6" xfId="0" applyFont="1" applyBorder="1" applyAlignment="1">
      <alignment horizontal="right" vertical="center"/>
    </xf>
    <xf numFmtId="0" fontId="0" fillId="0" borderId="7" xfId="0" applyBorder="1"/>
    <xf numFmtId="0" fontId="3" fillId="9" borderId="6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3" fillId="11" borderId="6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6" fontId="3" fillId="9" borderId="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6" fontId="3" fillId="11" borderId="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6" fillId="6" borderId="0" xfId="0" applyFont="1" applyFill="1" applyAlignment="1">
      <alignment horizontal="center" vertical="center"/>
    </xf>
    <xf numFmtId="3" fontId="3" fillId="9" borderId="6" xfId="0" applyNumberFormat="1" applyFont="1" applyFill="1" applyBorder="1" applyAlignment="1">
      <alignment horizontal="center" vertical="center"/>
    </xf>
    <xf numFmtId="166" fontId="3" fillId="13" borderId="6" xfId="0" applyNumberFormat="1" applyFont="1" applyFill="1" applyBorder="1" applyAlignment="1">
      <alignment horizontal="center" vertical="center"/>
    </xf>
    <xf numFmtId="0" fontId="0" fillId="13" borderId="8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11" fillId="14" borderId="0" xfId="0" applyFont="1" applyFill="1"/>
    <xf numFmtId="0" fontId="9" fillId="14" borderId="0" xfId="0" applyFont="1" applyFill="1"/>
    <xf numFmtId="0" fontId="6" fillId="0" borderId="0" xfId="0" applyFont="1"/>
    <xf numFmtId="0" fontId="10" fillId="0" borderId="3" xfId="0" applyFont="1" applyBorder="1" applyAlignment="1">
      <alignment horizontal="center"/>
    </xf>
    <xf numFmtId="0" fontId="3" fillId="0" borderId="0" xfId="0" applyFont="1"/>
    <xf numFmtId="0" fontId="9" fillId="29" borderId="0" xfId="0" applyFont="1" applyFill="1" applyAlignment="1">
      <alignment horizontal="center" vertical="center" wrapText="1"/>
    </xf>
    <xf numFmtId="43" fontId="0" fillId="0" borderId="0" xfId="3" applyFont="1"/>
    <xf numFmtId="0" fontId="29" fillId="0" borderId="0" xfId="0" applyFont="1" applyAlignment="1">
      <alignment vertical="top" wrapText="1"/>
    </xf>
    <xf numFmtId="0" fontId="22" fillId="30" borderId="0" xfId="0" applyFont="1" applyFill="1"/>
    <xf numFmtId="0" fontId="30" fillId="19" borderId="0" xfId="0" applyFont="1" applyFill="1"/>
    <xf numFmtId="0" fontId="31" fillId="0" borderId="0" xfId="0" applyFont="1" applyAlignment="1">
      <alignment wrapText="1"/>
    </xf>
    <xf numFmtId="0" fontId="22" fillId="29" borderId="21" xfId="0" applyFont="1" applyFill="1" applyBorder="1" applyAlignment="1">
      <alignment horizontal="center"/>
    </xf>
    <xf numFmtId="0" fontId="23" fillId="30" borderId="0" xfId="0" applyFont="1" applyFill="1" applyAlignment="1">
      <alignment horizontal="center" vertical="center" wrapText="1"/>
    </xf>
    <xf numFmtId="0" fontId="22" fillId="34" borderId="0" xfId="0" applyFont="1" applyFill="1"/>
    <xf numFmtId="0" fontId="24" fillId="25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/>
    </xf>
    <xf numFmtId="0" fontId="37" fillId="35" borderId="0" xfId="0" applyFont="1" applyFill="1" applyAlignment="1">
      <alignment horizontal="center"/>
    </xf>
    <xf numFmtId="3" fontId="37" fillId="35" borderId="0" xfId="0" applyNumberFormat="1" applyFont="1" applyFill="1" applyAlignment="1">
      <alignment horizontal="center"/>
    </xf>
    <xf numFmtId="9" fontId="37" fillId="35" borderId="0" xfId="2" applyFont="1" applyFill="1" applyAlignment="1">
      <alignment horizontal="center"/>
    </xf>
    <xf numFmtId="0" fontId="60" fillId="54" borderId="37" xfId="0" applyFont="1" applyFill="1" applyBorder="1" applyAlignment="1">
      <alignment horizontal="center"/>
    </xf>
    <xf numFmtId="0" fontId="60" fillId="54" borderId="38" xfId="0" applyFont="1" applyFill="1" applyBorder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40" xfId="0" applyFont="1" applyBorder="1" applyAlignment="1">
      <alignment horizontal="center" wrapText="1"/>
    </xf>
    <xf numFmtId="0" fontId="24" fillId="0" borderId="18" xfId="0" applyFont="1" applyBorder="1" applyAlignment="1">
      <alignment horizontal="center" wrapText="1"/>
    </xf>
    <xf numFmtId="0" fontId="24" fillId="0" borderId="39" xfId="0" applyFont="1" applyBorder="1" applyAlignment="1">
      <alignment horizontal="center" wrapText="1"/>
    </xf>
    <xf numFmtId="166" fontId="64" fillId="46" borderId="41" xfId="0" applyNumberFormat="1" applyFont="1" applyFill="1" applyBorder="1" applyAlignment="1">
      <alignment horizontal="center" vertical="center" wrapText="1"/>
    </xf>
    <xf numFmtId="166" fontId="64" fillId="46" borderId="42" xfId="0" applyNumberFormat="1" applyFont="1" applyFill="1" applyBorder="1" applyAlignment="1">
      <alignment horizontal="center" vertical="center" wrapText="1"/>
    </xf>
    <xf numFmtId="166" fontId="64" fillId="46" borderId="43" xfId="0" applyNumberFormat="1" applyFont="1" applyFill="1" applyBorder="1" applyAlignment="1">
      <alignment horizontal="center" vertical="center" wrapText="1"/>
    </xf>
    <xf numFmtId="166" fontId="64" fillId="50" borderId="41" xfId="0" applyNumberFormat="1" applyFont="1" applyFill="1" applyBorder="1" applyAlignment="1">
      <alignment horizontal="center" vertical="center" wrapText="1"/>
    </xf>
    <xf numFmtId="166" fontId="64" fillId="50" borderId="42" xfId="0" applyNumberFormat="1" applyFont="1" applyFill="1" applyBorder="1" applyAlignment="1">
      <alignment horizontal="center" vertical="center" wrapText="1"/>
    </xf>
    <xf numFmtId="166" fontId="64" fillId="50" borderId="43" xfId="0" applyNumberFormat="1" applyFont="1" applyFill="1" applyBorder="1" applyAlignment="1">
      <alignment horizontal="center" vertical="center" wrapText="1"/>
    </xf>
    <xf numFmtId="166" fontId="64" fillId="47" borderId="41" xfId="0" applyNumberFormat="1" applyFont="1" applyFill="1" applyBorder="1" applyAlignment="1">
      <alignment horizontal="center" vertical="center" wrapText="1"/>
    </xf>
    <xf numFmtId="166" fontId="64" fillId="47" borderId="42" xfId="0" applyNumberFormat="1" applyFont="1" applyFill="1" applyBorder="1" applyAlignment="1">
      <alignment horizontal="center" vertical="center" wrapText="1"/>
    </xf>
    <xf numFmtId="166" fontId="64" fillId="47" borderId="43" xfId="0" applyNumberFormat="1" applyFont="1" applyFill="1" applyBorder="1" applyAlignment="1">
      <alignment horizontal="center" vertical="center" wrapText="1"/>
    </xf>
    <xf numFmtId="166" fontId="64" fillId="7" borderId="41" xfId="0" applyNumberFormat="1" applyFont="1" applyFill="1" applyBorder="1" applyAlignment="1">
      <alignment horizontal="center" vertical="center" wrapText="1"/>
    </xf>
    <xf numFmtId="166" fontId="64" fillId="7" borderId="42" xfId="0" applyNumberFormat="1" applyFont="1" applyFill="1" applyBorder="1" applyAlignment="1">
      <alignment horizontal="center" vertical="center" wrapText="1"/>
    </xf>
    <xf numFmtId="166" fontId="64" fillId="7" borderId="43" xfId="0" applyNumberFormat="1" applyFont="1" applyFill="1" applyBorder="1" applyAlignment="1">
      <alignment horizontal="center" vertical="center" wrapText="1"/>
    </xf>
    <xf numFmtId="166" fontId="64" fillId="55" borderId="41" xfId="0" applyNumberFormat="1" applyFont="1" applyFill="1" applyBorder="1" applyAlignment="1">
      <alignment horizontal="center" vertical="center" wrapText="1"/>
    </xf>
    <xf numFmtId="166" fontId="64" fillId="55" borderId="42" xfId="0" applyNumberFormat="1" applyFont="1" applyFill="1" applyBorder="1" applyAlignment="1">
      <alignment horizontal="center" vertical="center" wrapText="1"/>
    </xf>
    <xf numFmtId="166" fontId="64" fillId="55" borderId="43" xfId="0" applyNumberFormat="1" applyFont="1" applyFill="1" applyBorder="1" applyAlignment="1">
      <alignment horizontal="center" vertical="center" wrapText="1"/>
    </xf>
    <xf numFmtId="0" fontId="10" fillId="52" borderId="0" xfId="0" applyFont="1" applyFill="1" applyAlignment="1">
      <alignment horizontal="center"/>
    </xf>
    <xf numFmtId="0" fontId="61" fillId="12" borderId="37" xfId="0" applyFont="1" applyFill="1" applyBorder="1" applyAlignment="1">
      <alignment horizontal="center"/>
    </xf>
    <xf numFmtId="0" fontId="61" fillId="12" borderId="38" xfId="0" applyFont="1" applyFill="1" applyBorder="1" applyAlignment="1">
      <alignment horizontal="center"/>
    </xf>
    <xf numFmtId="0" fontId="36" fillId="29" borderId="0" xfId="0" applyFont="1" applyFill="1" applyAlignment="1">
      <alignment horizontal="center"/>
    </xf>
    <xf numFmtId="0" fontId="10" fillId="53" borderId="0" xfId="0" applyFont="1" applyFill="1" applyAlignment="1">
      <alignment horizontal="center"/>
    </xf>
    <xf numFmtId="0" fontId="10" fillId="51" borderId="0" xfId="0" applyFont="1" applyFill="1" applyAlignment="1">
      <alignment horizontal="center"/>
    </xf>
    <xf numFmtId="0" fontId="62" fillId="44" borderId="37" xfId="0" applyFont="1" applyFill="1" applyBorder="1" applyAlignment="1">
      <alignment horizontal="center"/>
    </xf>
    <xf numFmtId="0" fontId="62" fillId="44" borderId="38" xfId="0" applyFont="1" applyFill="1" applyBorder="1" applyAlignment="1">
      <alignment horizontal="center"/>
    </xf>
    <xf numFmtId="0" fontId="63" fillId="32" borderId="37" xfId="0" applyFont="1" applyFill="1" applyBorder="1" applyAlignment="1">
      <alignment horizontal="center"/>
    </xf>
    <xf numFmtId="0" fontId="63" fillId="32" borderId="38" xfId="0" applyFont="1" applyFill="1" applyBorder="1" applyAlignment="1">
      <alignment horizontal="center"/>
    </xf>
    <xf numFmtId="0" fontId="59" fillId="45" borderId="37" xfId="0" applyFont="1" applyFill="1" applyBorder="1" applyAlignment="1">
      <alignment horizontal="center"/>
    </xf>
    <xf numFmtId="0" fontId="59" fillId="45" borderId="38" xfId="0" applyFont="1" applyFill="1" applyBorder="1" applyAlignment="1">
      <alignment horizontal="center"/>
    </xf>
    <xf numFmtId="0" fontId="10" fillId="42" borderId="0" xfId="0" applyFont="1" applyFill="1" applyAlignment="1">
      <alignment horizontal="center"/>
    </xf>
    <xf numFmtId="0" fontId="10" fillId="49" borderId="0" xfId="0" applyFont="1" applyFill="1" applyAlignment="1">
      <alignment horizontal="center"/>
    </xf>
    <xf numFmtId="0" fontId="41" fillId="0" borderId="0" xfId="4" applyFont="1" applyAlignment="1">
      <alignment vertical="top" wrapText="1"/>
    </xf>
    <xf numFmtId="0" fontId="53" fillId="29" borderId="0" xfId="4" applyFont="1" applyFill="1" applyAlignment="1">
      <alignment horizontal="center" vertical="center"/>
    </xf>
    <xf numFmtId="0" fontId="54" fillId="41" borderId="0" xfId="4" applyFont="1" applyFill="1" applyAlignment="1">
      <alignment horizontal="left"/>
    </xf>
    <xf numFmtId="0" fontId="0" fillId="60" borderId="0" xfId="0" applyFill="1"/>
    <xf numFmtId="0" fontId="71" fillId="0" borderId="45" xfId="0" applyFont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72" fillId="61" borderId="46" xfId="0" applyFont="1" applyFill="1" applyBorder="1" applyAlignment="1">
      <alignment horizontal="center" vertical="center"/>
    </xf>
    <xf numFmtId="10" fontId="2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10" fontId="0" fillId="0" borderId="45" xfId="0" applyNumberFormat="1" applyBorder="1" applyAlignment="1">
      <alignment horizontal="right" vertical="center" wrapText="1"/>
    </xf>
    <xf numFmtId="173" fontId="0" fillId="0" borderId="45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72" fillId="61" borderId="47" xfId="0" applyFont="1" applyFill="1" applyBorder="1" applyAlignment="1">
      <alignment horizontal="center" vertical="center"/>
    </xf>
    <xf numFmtId="0" fontId="0" fillId="0" borderId="45" xfId="0" applyBorder="1"/>
    <xf numFmtId="0" fontId="0" fillId="0" borderId="0" xfId="0" applyAlignment="1">
      <alignment vertical="center" wrapText="1"/>
    </xf>
    <xf numFmtId="10" fontId="0" fillId="0" borderId="48" xfId="0" applyNumberFormat="1" applyBorder="1" applyAlignment="1">
      <alignment horizontal="right" vertical="center" wrapText="1"/>
    </xf>
    <xf numFmtId="2" fontId="0" fillId="0" borderId="45" xfId="0" applyNumberFormat="1" applyBorder="1" applyAlignment="1">
      <alignment horizontal="center" vertical="center"/>
    </xf>
    <xf numFmtId="0" fontId="0" fillId="0" borderId="49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72" fillId="61" borderId="50" xfId="0" applyFont="1" applyFill="1" applyBorder="1" applyAlignment="1">
      <alignment horizontal="center" vertical="center"/>
    </xf>
    <xf numFmtId="0" fontId="16" fillId="61" borderId="45" xfId="0" applyFont="1" applyFill="1" applyBorder="1" applyAlignment="1">
      <alignment horizontal="center" vertical="center"/>
    </xf>
    <xf numFmtId="0" fontId="72" fillId="61" borderId="51" xfId="0" applyFont="1" applyFill="1" applyBorder="1" applyAlignment="1">
      <alignment horizontal="center" vertical="center"/>
    </xf>
    <xf numFmtId="0" fontId="0" fillId="0" borderId="46" xfId="0" applyBorder="1" applyAlignment="1">
      <alignment vertical="top" wrapText="1"/>
    </xf>
    <xf numFmtId="10" fontId="0" fillId="0" borderId="46" xfId="0" applyNumberFormat="1" applyBorder="1" applyAlignment="1">
      <alignment vertical="top" wrapText="1"/>
    </xf>
    <xf numFmtId="2" fontId="0" fillId="0" borderId="46" xfId="0" applyNumberFormat="1" applyBorder="1" applyAlignment="1">
      <alignment vertical="top" wrapText="1"/>
    </xf>
    <xf numFmtId="0" fontId="71" fillId="62" borderId="45" xfId="0" applyFont="1" applyFill="1" applyBorder="1" applyAlignment="1">
      <alignment vertical="top" wrapText="1"/>
    </xf>
  </cellXfs>
  <cellStyles count="5">
    <cellStyle name="Millares" xfId="3" builtinId="3"/>
    <cellStyle name="Moneda" xfId="1" builtinId="4"/>
    <cellStyle name="Normal" xfId="0" builtinId="0"/>
    <cellStyle name="Normal 2" xfId="4" xr:uid="{00000000-0005-0000-0000-000003000000}"/>
    <cellStyle name="Porcentaje" xfId="2" builtinId="5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border diagonalUp="0" diagonalDown="0">
        <left style="thin">
          <color rgb="FFA6A6A6"/>
        </left>
        <right/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72" formatCode="#,##0;\(#,##0\);\-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2" formatCode="#,##0;\(#,##0\);\-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2" formatCode="#,##0;\(#,##0\);\-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border outline="0">
        <top style="thin">
          <color rgb="FFA6A6A6"/>
        </top>
      </border>
    </dxf>
    <dxf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bottom style="thin">
          <color rgb="FFA6A6A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numFmt numFmtId="170" formatCode="_-[$$-409]* #,##0.00_ ;_-[$$-409]* \-#,##0.00\ ;_-[$$-409]* &quot;-&quot;??_ ;_-@_ "/>
    </dxf>
    <dxf>
      <border outline="0">
        <top style="thin">
          <color rgb="FFBFBFBF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\$#,##0.00"/>
      <fill>
        <patternFill patternType="solid">
          <fgColor rgb="FFE2EFDA"/>
          <bgColor rgb="FFE2EFDA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double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Segoe UI"/>
        <scheme val="none"/>
      </font>
      <numFmt numFmtId="167" formatCode="_-[$$-80A]* #,##0.00_-;\-[$$-80A]* #,##0.00_-;_-[$$-80A]* &quot;-&quot;??_-;_-@_-"/>
      <fill>
        <patternFill patternType="solid">
          <fgColor rgb="FFE2EFDA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Segoe UI"/>
        <scheme val="none"/>
      </font>
      <numFmt numFmtId="166" formatCode="\$#,##0.00"/>
      <fill>
        <patternFill patternType="solid">
          <fgColor rgb="FFE2EFDA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7" formatCode="_-[$$-80A]* #,##0.00_-;\-[$$-80A]* #,##0.00_-;_-[$$-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167" formatCode="_-[$$-80A]* #,##0.00_-;\-[$$-80A]* #,##0.00_-;_-[$$-80A]* &quot;-&quot;??_-;_-@_-"/>
      <fill>
        <patternFill patternType="solid">
          <fgColor rgb="FFE2EFDA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167" formatCode="_-[$$-80A]* #,##0.00_-;\-[$$-80A]* #,##0.00_-;_-[$$-80A]* &quot;-&quot;??_-;_-@_-"/>
      <fill>
        <patternFill patternType="solid">
          <fgColor rgb="FFE2EFDA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top style="thin">
          <color rgb="FFBFBFBF"/>
        </top>
        <bottom style="double">
          <color rgb="FF1F4E78"/>
        </bottom>
      </border>
    </dxf>
    <dxf>
      <border outline="0">
        <bottom style="medium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  <dxf>
      <numFmt numFmtId="167" formatCode="_-[$$-80A]* #,##0.00_-;\-[$$-80A]* #,##0.00_-;_-[$$-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166" formatCode="\$#,##0.00"/>
      <fill>
        <patternFill patternType="solid">
          <fgColor rgb="FFE2EFDA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166" formatCode="\$#,##0.00"/>
      <fill>
        <patternFill patternType="solid">
          <fgColor rgb="FFE2EFDA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top style="thin">
          <color rgb="FFBFBFBF"/>
        </top>
        <bottom style="double">
          <color rgb="FF1F4E78"/>
        </bottom>
      </border>
    </dxf>
    <dxf>
      <border outline="0">
        <bottom style="medium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2F5597"/>
          <bgColor rgb="FF2F559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0" formatCode="General"/>
    </dxf>
    <dxf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Segoe UI"/>
        <scheme val="none"/>
      </font>
      <numFmt numFmtId="167" formatCode="_-[$$-80A]* #,##0.00_-;\-[$$-80A]* #,##0.00_-;_-[$$-80A]* &quot;-&quot;??_-;_-@_-"/>
      <fill>
        <patternFill patternType="solid">
          <fgColor rgb="FFE2EFDA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167" formatCode="_-[$$-80A]* #,##0.00_-;\-[$$-80A]* #,##0.00_-;_-[$$-80A]* &quot;-&quot;??_-;_-@_-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Segoe UI"/>
        <scheme val="none"/>
      </font>
      <fill>
        <patternFill patternType="solid">
          <fgColor rgb="FFE2EFDA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Segoe UI"/>
        <scheme val="none"/>
      </font>
      <fill>
        <patternFill patternType="solid">
          <fgColor rgb="FFE2EFDA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top style="thin">
          <color rgb="FFBFBFBF"/>
        </top>
        <bottom style="double">
          <color rgb="FF1F4E78"/>
        </bottom>
      </border>
    </dxf>
    <dxf>
      <border outline="0">
        <bottom style="medium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2F5597"/>
          <bgColor rgb="FF2F559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166" formatCode="\$#,##0.0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Segoe UI"/>
        <scheme val="none"/>
      </font>
      <fill>
        <patternFill patternType="solid">
          <fgColor rgb="FFE2EFDA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166" formatCode="\$#,##0.00"/>
      <fill>
        <patternFill patternType="solid">
          <fgColor rgb="FFDCE6F1"/>
          <bgColor rgb="FFDCE6F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166" formatCode="\$#,##0.0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medium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2F5597"/>
          <bgColor rgb="FF2F559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4" formatCode="0.00%"/>
      <fill>
        <patternFill patternType="solid">
          <fgColor rgb="FFE2EFDA"/>
          <bgColor rgb="FFE2EFD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\$#,##0.00"/>
      <fill>
        <patternFill patternType="solid">
          <fgColor rgb="FFDCE6F1"/>
          <bgColor rgb="FFDCE6F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medium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2F5597"/>
          <bgColor rgb="FF2F559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numFmt numFmtId="165" formatCode="\$#,##0"/>
      <fill>
        <patternFill patternType="solid">
          <fgColor rgb="FFDCE6F1"/>
          <bgColor rgb="FFDCE6F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fill>
        <patternFill patternType="solid">
          <fgColor rgb="FFDCE6F1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/>
        </patternFill>
      </fill>
    </dxf>
  </dxfs>
  <tableStyles count="1" defaultTableStyle="TableStyleMedium9" defaultPivotStyle="PivotStyleLight16">
    <tableStyle name="Invisible" pivot="0" table="0" count="0" xr9:uid="{5E003ECF-BC46-41DA-BAB1-C3E5E1D22D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9" Type="http://schemas.openxmlformats.org/officeDocument/2006/relationships/customXml" Target="../customXml/item8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sheetMetadata" Target="metadata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20" Type="http://schemas.openxmlformats.org/officeDocument/2006/relationships/externalLink" Target="externalLinks/externalLink1.xml"/><Relationship Id="rId41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[DEMO DAY - UNIDAD I .xlsx]Tabla dinámica del escenario!TablaDinámica3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UTILIDAD ANTES DE IMPUESTOS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PE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dinámica del escenario'!$B$3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dinámica del escenario'!$A$4:$A$6</c:f>
              <c:strCache>
                <c:ptCount val="3"/>
                <c:pt idx="0">
                  <c:v>BASE</c:v>
                </c:pt>
                <c:pt idx="1">
                  <c:v>OPTIMISTA</c:v>
                </c:pt>
                <c:pt idx="2">
                  <c:v>PESIMISTA</c:v>
                </c:pt>
              </c:strCache>
            </c:strRef>
          </c:cat>
          <c:val>
            <c:numRef>
              <c:f>'Tabla dinámica del escenario'!$B$4:$B$6</c:f>
              <c:numCache>
                <c:formatCode>[$$-409]#,##0.00</c:formatCode>
                <c:ptCount val="3"/>
                <c:pt idx="0">
                  <c:v>152255481.98957491</c:v>
                </c:pt>
                <c:pt idx="1">
                  <c:v>360530645.77009612</c:v>
                </c:pt>
                <c:pt idx="2">
                  <c:v>-11734672.091259092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E-47B2-A632-D6AB55101B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849055752"/>
        <c:axId val="849063296"/>
      </c:barChart>
      <c:catAx>
        <c:axId val="84905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49063296"/>
        <c:crosses val="autoZero"/>
        <c:auto val="1"/>
        <c:lblAlgn val="ctr"/>
        <c:lblOffset val="100"/>
        <c:noMultiLvlLbl val="0"/>
      </c:catAx>
      <c:valAx>
        <c:axId val="84906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4905575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Punto de Equilibrio – Buenaventura S.A.A.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813930443677279E-2"/>
          <c:y val="9.9234830259288948E-2"/>
          <c:w val="0.88097681151478624"/>
          <c:h val="0.681970506994564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'[2]DATOS GRÁFICO'!$B$19</c:f>
              <c:strCache>
                <c:ptCount val="1"/>
                <c:pt idx="0">
                  <c:v>Ingresos (USD)</c:v>
                </c:pt>
              </c:strCache>
            </c:strRef>
          </c:tx>
          <c:spPr>
            <a:ln w="2844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'[2]DATOS GRÁFICO'!$A$20:$A$40</c:f>
              <c:numCache>
                <c:formatCode>General</c:formatCode>
                <c:ptCount val="21"/>
                <c:pt idx="0">
                  <c:v>0</c:v>
                </c:pt>
                <c:pt idx="1">
                  <c:v>100000000</c:v>
                </c:pt>
                <c:pt idx="2">
                  <c:v>200000000</c:v>
                </c:pt>
                <c:pt idx="3">
                  <c:v>300000000</c:v>
                </c:pt>
                <c:pt idx="4">
                  <c:v>400000000</c:v>
                </c:pt>
                <c:pt idx="5">
                  <c:v>500000000</c:v>
                </c:pt>
                <c:pt idx="6">
                  <c:v>600000000</c:v>
                </c:pt>
                <c:pt idx="7">
                  <c:v>700000000</c:v>
                </c:pt>
                <c:pt idx="8">
                  <c:v>800000000</c:v>
                </c:pt>
                <c:pt idx="9">
                  <c:v>900000000</c:v>
                </c:pt>
                <c:pt idx="10">
                  <c:v>1000000000</c:v>
                </c:pt>
                <c:pt idx="11">
                  <c:v>1100000000</c:v>
                </c:pt>
                <c:pt idx="12">
                  <c:v>1200000000</c:v>
                </c:pt>
                <c:pt idx="13">
                  <c:v>1300000000</c:v>
                </c:pt>
                <c:pt idx="14">
                  <c:v>1400000000</c:v>
                </c:pt>
                <c:pt idx="15">
                  <c:v>1500000000</c:v>
                </c:pt>
                <c:pt idx="16">
                  <c:v>1600000000</c:v>
                </c:pt>
                <c:pt idx="17">
                  <c:v>1700000000</c:v>
                </c:pt>
                <c:pt idx="18">
                  <c:v>1800000000</c:v>
                </c:pt>
                <c:pt idx="19">
                  <c:v>1900000000</c:v>
                </c:pt>
                <c:pt idx="20">
                  <c:v>2000000000</c:v>
                </c:pt>
              </c:numCache>
            </c:numRef>
          </c:xVal>
          <c:yVal>
            <c:numRef>
              <c:f>'[2]DATOS GRÁFICO'!$B$20:$B$40</c:f>
              <c:numCache>
                <c:formatCode>General</c:formatCode>
                <c:ptCount val="21"/>
                <c:pt idx="0">
                  <c:v>0</c:v>
                </c:pt>
                <c:pt idx="1">
                  <c:v>100000000</c:v>
                </c:pt>
                <c:pt idx="2">
                  <c:v>200000000</c:v>
                </c:pt>
                <c:pt idx="3">
                  <c:v>300000000</c:v>
                </c:pt>
                <c:pt idx="4">
                  <c:v>400000000</c:v>
                </c:pt>
                <c:pt idx="5">
                  <c:v>500000000</c:v>
                </c:pt>
                <c:pt idx="6">
                  <c:v>600000000</c:v>
                </c:pt>
                <c:pt idx="7">
                  <c:v>700000000</c:v>
                </c:pt>
                <c:pt idx="8">
                  <c:v>800000000</c:v>
                </c:pt>
                <c:pt idx="9">
                  <c:v>900000000</c:v>
                </c:pt>
                <c:pt idx="10">
                  <c:v>1000000000</c:v>
                </c:pt>
                <c:pt idx="11">
                  <c:v>1100000000</c:v>
                </c:pt>
                <c:pt idx="12">
                  <c:v>1200000000</c:v>
                </c:pt>
                <c:pt idx="13">
                  <c:v>1300000000</c:v>
                </c:pt>
                <c:pt idx="14">
                  <c:v>1400000000</c:v>
                </c:pt>
                <c:pt idx="15">
                  <c:v>1500000000</c:v>
                </c:pt>
                <c:pt idx="16">
                  <c:v>1600000000</c:v>
                </c:pt>
                <c:pt idx="17">
                  <c:v>1700000000</c:v>
                </c:pt>
                <c:pt idx="18">
                  <c:v>1800000000</c:v>
                </c:pt>
                <c:pt idx="19">
                  <c:v>1900000000</c:v>
                </c:pt>
                <c:pt idx="20">
                  <c:v>2000000000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87-4A28-8443-06BB76CFFAF9}"/>
            </c:ext>
          </c:extLst>
        </c:ser>
        <c:ser>
          <c:idx val="1"/>
          <c:order val="1"/>
          <c:tx>
            <c:strRef>
              <c:f>'[2]DATOS GRÁFICO'!$E$19</c:f>
              <c:strCache>
                <c:ptCount val="1"/>
                <c:pt idx="0">
                  <c:v>Costos totales (USD)</c:v>
                </c:pt>
              </c:strCache>
            </c:strRef>
          </c:tx>
          <c:spPr>
            <a:ln w="284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'[2]DATOS GRÁFICO'!$A$20:$A$40</c:f>
              <c:numCache>
                <c:formatCode>General</c:formatCode>
                <c:ptCount val="21"/>
                <c:pt idx="0">
                  <c:v>0</c:v>
                </c:pt>
                <c:pt idx="1">
                  <c:v>100000000</c:v>
                </c:pt>
                <c:pt idx="2">
                  <c:v>200000000</c:v>
                </c:pt>
                <c:pt idx="3">
                  <c:v>300000000</c:v>
                </c:pt>
                <c:pt idx="4">
                  <c:v>400000000</c:v>
                </c:pt>
                <c:pt idx="5">
                  <c:v>500000000</c:v>
                </c:pt>
                <c:pt idx="6">
                  <c:v>600000000</c:v>
                </c:pt>
                <c:pt idx="7">
                  <c:v>700000000</c:v>
                </c:pt>
                <c:pt idx="8">
                  <c:v>800000000</c:v>
                </c:pt>
                <c:pt idx="9">
                  <c:v>900000000</c:v>
                </c:pt>
                <c:pt idx="10">
                  <c:v>1000000000</c:v>
                </c:pt>
                <c:pt idx="11">
                  <c:v>1100000000</c:v>
                </c:pt>
                <c:pt idx="12">
                  <c:v>1200000000</c:v>
                </c:pt>
                <c:pt idx="13">
                  <c:v>1300000000</c:v>
                </c:pt>
                <c:pt idx="14">
                  <c:v>1400000000</c:v>
                </c:pt>
                <c:pt idx="15">
                  <c:v>1500000000</c:v>
                </c:pt>
                <c:pt idx="16">
                  <c:v>1600000000</c:v>
                </c:pt>
                <c:pt idx="17">
                  <c:v>1700000000</c:v>
                </c:pt>
                <c:pt idx="18">
                  <c:v>1800000000</c:v>
                </c:pt>
                <c:pt idx="19">
                  <c:v>1900000000</c:v>
                </c:pt>
                <c:pt idx="20">
                  <c:v>2000000000</c:v>
                </c:pt>
              </c:numCache>
            </c:numRef>
          </c:xVal>
          <c:yVal>
            <c:numRef>
              <c:f>'[2]DATOS GRÁFICO'!$E$20:$E$40</c:f>
              <c:numCache>
                <c:formatCode>General</c:formatCode>
                <c:ptCount val="21"/>
                <c:pt idx="0">
                  <c:v>289700000</c:v>
                </c:pt>
                <c:pt idx="1">
                  <c:v>339408154.47336185</c:v>
                </c:pt>
                <c:pt idx="2">
                  <c:v>389116308.94672376</c:v>
                </c:pt>
                <c:pt idx="3">
                  <c:v>438824463.42008567</c:v>
                </c:pt>
                <c:pt idx="4">
                  <c:v>488532617.89344752</c:v>
                </c:pt>
                <c:pt idx="5">
                  <c:v>538240772.36680937</c:v>
                </c:pt>
                <c:pt idx="6">
                  <c:v>587948926.84017134</c:v>
                </c:pt>
                <c:pt idx="7">
                  <c:v>637657081.31353307</c:v>
                </c:pt>
                <c:pt idx="8">
                  <c:v>687365235.78689504</c:v>
                </c:pt>
                <c:pt idx="9">
                  <c:v>737073390.26025689</c:v>
                </c:pt>
                <c:pt idx="10">
                  <c:v>786781544.73361874</c:v>
                </c:pt>
                <c:pt idx="11">
                  <c:v>836489699.20698059</c:v>
                </c:pt>
                <c:pt idx="12">
                  <c:v>886197853.68034256</c:v>
                </c:pt>
                <c:pt idx="13">
                  <c:v>935906008.1537044</c:v>
                </c:pt>
                <c:pt idx="14">
                  <c:v>985614162.62706625</c:v>
                </c:pt>
                <c:pt idx="15">
                  <c:v>1035322317.1004281</c:v>
                </c:pt>
                <c:pt idx="16">
                  <c:v>1085030471.5737901</c:v>
                </c:pt>
                <c:pt idx="17">
                  <c:v>1134738626.047152</c:v>
                </c:pt>
                <c:pt idx="18">
                  <c:v>1184446780.5205138</c:v>
                </c:pt>
                <c:pt idx="19">
                  <c:v>1234154934.9938755</c:v>
                </c:pt>
                <c:pt idx="20">
                  <c:v>1283863089.4672375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87-4A28-8443-06BB76CFFAF9}"/>
            </c:ext>
          </c:extLst>
        </c:ser>
        <c:ser>
          <c:idx val="2"/>
          <c:order val="2"/>
          <c:tx>
            <c:strRef>
              <c:f>'[2]DATOS GRÁFICO'!$C$19</c:f>
              <c:strCache>
                <c:ptCount val="1"/>
                <c:pt idx="0">
                  <c:v>Costos fijos (USD)</c:v>
                </c:pt>
              </c:strCache>
            </c:strRef>
          </c:tx>
          <c:spPr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'[2]DATOS GRÁFICO'!$A$20:$A$40</c:f>
              <c:numCache>
                <c:formatCode>General</c:formatCode>
                <c:ptCount val="21"/>
                <c:pt idx="0">
                  <c:v>0</c:v>
                </c:pt>
                <c:pt idx="1">
                  <c:v>100000000</c:v>
                </c:pt>
                <c:pt idx="2">
                  <c:v>200000000</c:v>
                </c:pt>
                <c:pt idx="3">
                  <c:v>300000000</c:v>
                </c:pt>
                <c:pt idx="4">
                  <c:v>400000000</c:v>
                </c:pt>
                <c:pt idx="5">
                  <c:v>500000000</c:v>
                </c:pt>
                <c:pt idx="6">
                  <c:v>600000000</c:v>
                </c:pt>
                <c:pt idx="7">
                  <c:v>700000000</c:v>
                </c:pt>
                <c:pt idx="8">
                  <c:v>800000000</c:v>
                </c:pt>
                <c:pt idx="9">
                  <c:v>900000000</c:v>
                </c:pt>
                <c:pt idx="10">
                  <c:v>1000000000</c:v>
                </c:pt>
                <c:pt idx="11">
                  <c:v>1100000000</c:v>
                </c:pt>
                <c:pt idx="12">
                  <c:v>1200000000</c:v>
                </c:pt>
                <c:pt idx="13">
                  <c:v>1300000000</c:v>
                </c:pt>
                <c:pt idx="14">
                  <c:v>1400000000</c:v>
                </c:pt>
                <c:pt idx="15">
                  <c:v>1500000000</c:v>
                </c:pt>
                <c:pt idx="16">
                  <c:v>1600000000</c:v>
                </c:pt>
                <c:pt idx="17">
                  <c:v>1700000000</c:v>
                </c:pt>
                <c:pt idx="18">
                  <c:v>1800000000</c:v>
                </c:pt>
                <c:pt idx="19">
                  <c:v>1900000000</c:v>
                </c:pt>
                <c:pt idx="20">
                  <c:v>2000000000</c:v>
                </c:pt>
              </c:numCache>
            </c:numRef>
          </c:xVal>
          <c:yVal>
            <c:numRef>
              <c:f>'[2]DATOS GRÁFICO'!$C$20:$C$40</c:f>
              <c:numCache>
                <c:formatCode>General</c:formatCode>
                <c:ptCount val="21"/>
                <c:pt idx="0">
                  <c:v>289700000</c:v>
                </c:pt>
                <c:pt idx="1">
                  <c:v>289700000</c:v>
                </c:pt>
                <c:pt idx="2">
                  <c:v>289700000</c:v>
                </c:pt>
                <c:pt idx="3">
                  <c:v>289700000</c:v>
                </c:pt>
                <c:pt idx="4">
                  <c:v>289700000</c:v>
                </c:pt>
                <c:pt idx="5">
                  <c:v>289700000</c:v>
                </c:pt>
                <c:pt idx="6">
                  <c:v>289700000</c:v>
                </c:pt>
                <c:pt idx="7">
                  <c:v>289700000</c:v>
                </c:pt>
                <c:pt idx="8">
                  <c:v>289700000</c:v>
                </c:pt>
                <c:pt idx="9">
                  <c:v>289700000</c:v>
                </c:pt>
                <c:pt idx="10">
                  <c:v>289700000</c:v>
                </c:pt>
                <c:pt idx="11">
                  <c:v>289700000</c:v>
                </c:pt>
                <c:pt idx="12">
                  <c:v>289700000</c:v>
                </c:pt>
                <c:pt idx="13">
                  <c:v>289700000</c:v>
                </c:pt>
                <c:pt idx="14">
                  <c:v>289700000</c:v>
                </c:pt>
                <c:pt idx="15">
                  <c:v>289700000</c:v>
                </c:pt>
                <c:pt idx="16">
                  <c:v>289700000</c:v>
                </c:pt>
                <c:pt idx="17">
                  <c:v>289700000</c:v>
                </c:pt>
                <c:pt idx="18">
                  <c:v>289700000</c:v>
                </c:pt>
                <c:pt idx="19">
                  <c:v>289700000</c:v>
                </c:pt>
                <c:pt idx="20">
                  <c:v>289700000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87-4A28-8443-06BB76CFFAF9}"/>
            </c:ext>
          </c:extLst>
        </c:ser>
        <c:ser>
          <c:idx val="3"/>
          <c:order val="3"/>
          <c:tx>
            <c:v>Ventas en el PDE</c:v>
          </c:tx>
          <c:spPr>
            <a:ln w="15840">
              <a:solidFill>
                <a:srgbClr val="1F3864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'[2]DATOS GRÁFICO'!$B$14:$B$15</c:f>
              <c:numCache>
                <c:formatCode>General</c:formatCode>
                <c:ptCount val="2"/>
                <c:pt idx="0">
                  <c:v>576037719.36854923</c:v>
                </c:pt>
                <c:pt idx="1">
                  <c:v>576037719.36854923</c:v>
                </c:pt>
              </c:numCache>
            </c:numRef>
          </c:xVal>
          <c:yVal>
            <c:numRef>
              <c:f>'[2]DATOS GRÁFICO'!$C$14:$C$15</c:f>
              <c:numCache>
                <c:formatCode>General</c:formatCode>
                <c:ptCount val="2"/>
                <c:pt idx="0">
                  <c:v>0</c:v>
                </c:pt>
                <c:pt idx="1">
                  <c:v>576037719.36854923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87-4A28-8443-06BB76CFFAF9}"/>
            </c:ext>
          </c:extLst>
        </c:ser>
        <c:ser>
          <c:idx val="4"/>
          <c:order val="4"/>
          <c:tx>
            <c:strRef>
              <c:f>'[2]DATOS GRÁFICO'!$B$9</c:f>
              <c:strCache>
                <c:ptCount val="1"/>
                <c:pt idx="0">
                  <c:v>Punto de equilibrio: USD 576.04 M</c:v>
                </c:pt>
              </c:strCache>
            </c:strRef>
          </c:tx>
          <c:spPr>
            <a:ln w="28440">
              <a:noFill/>
            </a:ln>
          </c:spPr>
          <c:marker>
            <c:symbol val="diamond"/>
            <c:size val="12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'[2]DATOS GRÁFICO'!$B$13</c:f>
              <c:numCache>
                <c:formatCode>General</c:formatCode>
                <c:ptCount val="1"/>
                <c:pt idx="0">
                  <c:v>576037719.36854923</c:v>
                </c:pt>
              </c:numCache>
            </c:numRef>
          </c:xVal>
          <c:yVal>
            <c:numRef>
              <c:f>'[2]DATOS GRÁFICO'!$C$13</c:f>
              <c:numCache>
                <c:formatCode>General</c:formatCode>
                <c:ptCount val="1"/>
                <c:pt idx="0">
                  <c:v>576037719.36854923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87-4A28-8443-06BB76CFFAF9}"/>
            </c:ext>
          </c:extLst>
        </c:ser>
        <c:ser>
          <c:idx val="5"/>
          <c:order val="5"/>
          <c:tx>
            <c:strRef>
              <c:f>'[2]DATOS GRÁFICO'!$B$9</c:f>
              <c:strCache>
                <c:ptCount val="1"/>
                <c:pt idx="0">
                  <c:v>Punto de equilibrio: USD 576.04 M</c:v>
                </c:pt>
              </c:strCache>
            </c:strRef>
          </c:tx>
          <c:spPr>
            <a:ln w="2844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1F3864"/>
                    </a:solidFill>
                    <a:latin typeface="Calibri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'[2]DATOS GRÁFICO'!$B$16</c:f>
              <c:numCache>
                <c:formatCode>General</c:formatCode>
                <c:ptCount val="1"/>
                <c:pt idx="0">
                  <c:v>576037719.36854923</c:v>
                </c:pt>
              </c:numCache>
            </c:numRef>
          </c:xVal>
          <c:yVal>
            <c:numRef>
              <c:f>'[2]DATOS GRÁFICO'!$C$16</c:f>
              <c:numCache>
                <c:formatCode>General</c:formatCode>
                <c:ptCount val="1"/>
                <c:pt idx="0">
                  <c:v>144850000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87-4A28-8443-06BB76CFF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6366"/>
        <c:axId val="70058120"/>
      </c:scatterChart>
      <c:valAx>
        <c:axId val="35486366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Ventas (millones de 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0058120"/>
        <c:crosses val="autoZero"/>
        <c:crossBetween val="midCat"/>
      </c:valAx>
      <c:valAx>
        <c:axId val="7005812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Ingresos y costos (millones de 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548636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1473200</xdr:colOff>
      <xdr:row>5</xdr:row>
      <xdr:rowOff>152400</xdr:rowOff>
    </xdr:from>
    <xdr:to>
      <xdr:col>2</xdr:col>
      <xdr:colOff>2978150</xdr:colOff>
      <xdr:row>9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52776E-F903-BB14-D726-5C88AD9BA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300" y="1130300"/>
          <a:ext cx="1587500" cy="115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1422400</xdr:colOff>
      <xdr:row>4</xdr:row>
      <xdr:rowOff>165101</xdr:rowOff>
    </xdr:from>
    <xdr:to>
      <xdr:col>8</xdr:col>
      <xdr:colOff>1650180</xdr:colOff>
      <xdr:row>8</xdr:row>
      <xdr:rowOff>330200</xdr:rowOff>
    </xdr:to>
    <xdr:pic>
      <xdr:nvPicPr>
        <xdr:cNvPr id="3" name="Imagen 2" descr="Compañia de Minas Buenaventura S.A.A">
          <a:extLst>
            <a:ext uri="{FF2B5EF4-FFF2-40B4-BE49-F238E27FC236}">
              <a16:creationId xmlns:a16="http://schemas.microsoft.com/office/drawing/2014/main" id="{8FAFF839-CEE3-B242-80C0-EAD2B54EC4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876"/>
        <a:stretch/>
      </xdr:blipFill>
      <xdr:spPr bwMode="auto">
        <a:xfrm>
          <a:off x="14897100" y="1028701"/>
          <a:ext cx="2640780" cy="1308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1765300</xdr:colOff>
      <xdr:row>3</xdr:row>
      <xdr:rowOff>63500</xdr:rowOff>
    </xdr:from>
    <xdr:to>
      <xdr:col>0</xdr:col>
      <xdr:colOff>7569200</xdr:colOff>
      <xdr:row>20</xdr:row>
      <xdr:rowOff>37255</xdr:rowOff>
    </xdr:to>
    <xdr:pic>
      <xdr:nvPicPr>
        <xdr:cNvPr id="2" name="Imagen 1" descr="Compañia de Minas Buenaventura S.A.A">
          <a:extLst>
            <a:ext uri="{FF2B5EF4-FFF2-40B4-BE49-F238E27FC236}">
              <a16:creationId xmlns:a16="http://schemas.microsoft.com/office/drawing/2014/main" id="{C9F5DC5C-EE16-D99B-927F-D234731B8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5300" y="711200"/>
          <a:ext cx="5803900" cy="3377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390364</xdr:colOff>
      <xdr:row>25</xdr:row>
      <xdr:rowOff>190242</xdr:rowOff>
    </xdr:from>
    <xdr:to>
      <xdr:col>7</xdr:col>
      <xdr:colOff>1551581</xdr:colOff>
      <xdr:row>37</xdr:row>
      <xdr:rowOff>178955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5D837BB-A4D0-F6EC-D77B-94D0AE8755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20" b="12466"/>
        <a:stretch/>
      </xdr:blipFill>
      <xdr:spPr>
        <a:xfrm>
          <a:off x="13077536" y="5385697"/>
          <a:ext cx="7062227" cy="36960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832629</xdr:colOff>
      <xdr:row>18</xdr:row>
      <xdr:rowOff>104857</xdr:rowOff>
    </xdr:from>
    <xdr:to>
      <xdr:col>2</xdr:col>
      <xdr:colOff>600878</xdr:colOff>
      <xdr:row>25</xdr:row>
      <xdr:rowOff>167735</xdr:rowOff>
    </xdr:to>
    <xdr:pic>
      <xdr:nvPicPr>
        <xdr:cNvPr id="3" name="Imagen 2" descr="Tipos de metales preciosos: ¿cuál es el más caro? | Arte y Oficios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629" y="4058631"/>
          <a:ext cx="2775513" cy="1440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47625</xdr:rowOff>
    </xdr:from>
    <xdr:to>
      <xdr:col>15</xdr:col>
      <xdr:colOff>619124</xdr:colOff>
      <xdr:row>15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31</xdr:row>
      <xdr:rowOff>97060</xdr:rowOff>
    </xdr:from>
    <xdr:to>
      <xdr:col>4</xdr:col>
      <xdr:colOff>918540</xdr:colOff>
      <xdr:row>56</xdr:row>
      <xdr:rowOff>14260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52B7F-A0A3-40D5-A856-1C14D4A89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ICELY%20GUILLEN\Downloads\PRIMER_AVANCE_-_CONTABILIDAD_GERENCIAL_ESCENARI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ookv\Downloads\PUNTO_DE_EQUILIBRIO_BUENAVENTU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DATOS CENTRALES"/>
      <sheetName val="TABAL DINAMICA"/>
      <sheetName val="DB_Ventas"/>
      <sheetName val="Consultar"/>
      <sheetName val="Consolidados x MINERA"/>
      <sheetName val="Consolidado x metales"/>
      <sheetName val="ESCENARIO TOTAL"/>
      <sheetName val="ESCENARIO X ORO"/>
      <sheetName val="ESCENARIO X PLATA"/>
      <sheetName val="ESCENARIO X COBRE"/>
      <sheetName val="ESCENARIO X PLOMO"/>
      <sheetName val="ESCENARIO X ZINC"/>
      <sheetName val="ANALISIS CVU"/>
      <sheetName val="MATRIZ BCG"/>
    </sheetNames>
    <sheetDataSet>
      <sheetData sheetId="0"/>
      <sheetData sheetId="1">
        <row r="32">
          <cell r="B32">
            <v>-0.05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NTO DE EQUILIBRIO"/>
      <sheetName val="DATOS GRÁFICO"/>
    </sheetNames>
    <sheetDataSet>
      <sheetData sheetId="0" refreshError="1"/>
      <sheetData sheetId="1" refreshError="1">
        <row r="9">
          <cell r="B9" t="str">
            <v>Punto de equilibrio: USD 576.04 M</v>
          </cell>
        </row>
        <row r="13">
          <cell r="B13">
            <v>576037719.36854923</v>
          </cell>
          <cell r="C13">
            <v>576037719.36854923</v>
          </cell>
        </row>
        <row r="14">
          <cell r="B14">
            <v>576037719.36854923</v>
          </cell>
          <cell r="C14">
            <v>0</v>
          </cell>
        </row>
        <row r="15">
          <cell r="B15">
            <v>576037719.36854923</v>
          </cell>
          <cell r="C15">
            <v>576037719.36854923</v>
          </cell>
        </row>
        <row r="16">
          <cell r="B16">
            <v>576037719.36854923</v>
          </cell>
          <cell r="C16">
            <v>144850000</v>
          </cell>
        </row>
        <row r="19">
          <cell r="B19" t="str">
            <v>Ingresos (USD)</v>
          </cell>
          <cell r="C19" t="str">
            <v>Costos fijos (USD)</v>
          </cell>
          <cell r="E19" t="str">
            <v>Costos totales (USD)</v>
          </cell>
        </row>
        <row r="20">
          <cell r="A20">
            <v>0</v>
          </cell>
          <cell r="B20">
            <v>0</v>
          </cell>
          <cell r="C20">
            <v>289700000</v>
          </cell>
          <cell r="E20">
            <v>289700000</v>
          </cell>
        </row>
        <row r="21">
          <cell r="A21">
            <v>100000000</v>
          </cell>
          <cell r="B21">
            <v>100000000</v>
          </cell>
          <cell r="C21">
            <v>289700000</v>
          </cell>
          <cell r="E21">
            <v>339408154.47336185</v>
          </cell>
        </row>
        <row r="22">
          <cell r="A22">
            <v>200000000</v>
          </cell>
          <cell r="B22">
            <v>200000000</v>
          </cell>
          <cell r="C22">
            <v>289700000</v>
          </cell>
          <cell r="E22">
            <v>389116308.94672376</v>
          </cell>
        </row>
        <row r="23">
          <cell r="A23">
            <v>300000000</v>
          </cell>
          <cell r="B23">
            <v>300000000</v>
          </cell>
          <cell r="C23">
            <v>289700000</v>
          </cell>
          <cell r="E23">
            <v>438824463.42008567</v>
          </cell>
        </row>
        <row r="24">
          <cell r="A24">
            <v>400000000</v>
          </cell>
          <cell r="B24">
            <v>400000000</v>
          </cell>
          <cell r="C24">
            <v>289700000</v>
          </cell>
          <cell r="E24">
            <v>488532617.89344752</v>
          </cell>
        </row>
        <row r="25">
          <cell r="A25">
            <v>500000000</v>
          </cell>
          <cell r="B25">
            <v>500000000</v>
          </cell>
          <cell r="C25">
            <v>289700000</v>
          </cell>
          <cell r="E25">
            <v>538240772.36680937</v>
          </cell>
        </row>
        <row r="26">
          <cell r="A26">
            <v>600000000</v>
          </cell>
          <cell r="B26">
            <v>600000000</v>
          </cell>
          <cell r="C26">
            <v>289700000</v>
          </cell>
          <cell r="E26">
            <v>587948926.84017134</v>
          </cell>
        </row>
        <row r="27">
          <cell r="A27">
            <v>700000000</v>
          </cell>
          <cell r="B27">
            <v>700000000</v>
          </cell>
          <cell r="C27">
            <v>289700000</v>
          </cell>
          <cell r="E27">
            <v>637657081.31353307</v>
          </cell>
        </row>
        <row r="28">
          <cell r="A28">
            <v>800000000</v>
          </cell>
          <cell r="B28">
            <v>800000000</v>
          </cell>
          <cell r="C28">
            <v>289700000</v>
          </cell>
          <cell r="E28">
            <v>687365235.78689504</v>
          </cell>
        </row>
        <row r="29">
          <cell r="A29">
            <v>900000000</v>
          </cell>
          <cell r="B29">
            <v>900000000</v>
          </cell>
          <cell r="C29">
            <v>289700000</v>
          </cell>
          <cell r="E29">
            <v>737073390.26025689</v>
          </cell>
        </row>
        <row r="30">
          <cell r="A30">
            <v>1000000000</v>
          </cell>
          <cell r="B30">
            <v>1000000000</v>
          </cell>
          <cell r="C30">
            <v>289700000</v>
          </cell>
          <cell r="E30">
            <v>786781544.73361874</v>
          </cell>
        </row>
        <row r="31">
          <cell r="A31">
            <v>1100000000</v>
          </cell>
          <cell r="B31">
            <v>1100000000</v>
          </cell>
          <cell r="C31">
            <v>289700000</v>
          </cell>
          <cell r="E31">
            <v>836489699.20698059</v>
          </cell>
        </row>
        <row r="32">
          <cell r="A32">
            <v>1200000000</v>
          </cell>
          <cell r="B32">
            <v>1200000000</v>
          </cell>
          <cell r="C32">
            <v>289700000</v>
          </cell>
          <cell r="E32">
            <v>886197853.68034256</v>
          </cell>
        </row>
        <row r="33">
          <cell r="A33">
            <v>1300000000</v>
          </cell>
          <cell r="B33">
            <v>1300000000</v>
          </cell>
          <cell r="C33">
            <v>289700000</v>
          </cell>
          <cell r="E33">
            <v>935906008.1537044</v>
          </cell>
        </row>
        <row r="34">
          <cell r="A34">
            <v>1400000000</v>
          </cell>
          <cell r="B34">
            <v>1400000000</v>
          </cell>
          <cell r="C34">
            <v>289700000</v>
          </cell>
          <cell r="E34">
            <v>985614162.62706625</v>
          </cell>
        </row>
        <row r="35">
          <cell r="A35">
            <v>1500000000</v>
          </cell>
          <cell r="B35">
            <v>1500000000</v>
          </cell>
          <cell r="C35">
            <v>289700000</v>
          </cell>
          <cell r="E35">
            <v>1035322317.1004281</v>
          </cell>
        </row>
        <row r="36">
          <cell r="A36">
            <v>1600000000</v>
          </cell>
          <cell r="B36">
            <v>1600000000</v>
          </cell>
          <cell r="C36">
            <v>289700000</v>
          </cell>
          <cell r="E36">
            <v>1085030471.5737901</v>
          </cell>
        </row>
        <row r="37">
          <cell r="A37">
            <v>1700000000</v>
          </cell>
          <cell r="B37">
            <v>1700000000</v>
          </cell>
          <cell r="C37">
            <v>289700000</v>
          </cell>
          <cell r="E37">
            <v>1134738626.047152</v>
          </cell>
        </row>
        <row r="38">
          <cell r="A38">
            <v>1800000000</v>
          </cell>
          <cell r="B38">
            <v>1800000000</v>
          </cell>
          <cell r="C38">
            <v>289700000</v>
          </cell>
          <cell r="E38">
            <v>1184446780.5205138</v>
          </cell>
        </row>
        <row r="39">
          <cell r="A39">
            <v>1900000000</v>
          </cell>
          <cell r="B39">
            <v>1900000000</v>
          </cell>
          <cell r="C39">
            <v>289700000</v>
          </cell>
          <cell r="E39">
            <v>1234154934.9938755</v>
          </cell>
        </row>
        <row r="40">
          <cell r="A40">
            <v>2000000000</v>
          </cell>
          <cell r="B40">
            <v>2000000000</v>
          </cell>
          <cell r="C40">
            <v>289700000</v>
          </cell>
          <cell r="E40">
            <v>1283863089.4672375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ICELY GUILLEN" refreshedDate="46285.797163310184" backgroundQuery="1" createdVersion="6" refreshedVersion="6" minRefreshableVersion="3" recordCount="0" supportSubquery="1" supportAdvancedDrill="1" xr:uid="{00000000-000A-0000-FFFF-FFFFA0000000}">
  <cacheSource type="external" connectionId="3"/>
  <cacheFields count="5">
    <cacheField name="[Rango].[METAL].[METAL]" caption="METAL" numFmtId="0" level="1">
      <sharedItems count="5">
        <s v="Cobre"/>
        <s v="Oro"/>
        <s v="Plata"/>
        <s v="Plomo"/>
        <s v="Zinc"/>
      </sharedItems>
    </cacheField>
    <cacheField name="[Measures].[Suma de INGRESOS TOTALES (USD)]" caption="Suma de INGRESOS TOTALES (USD)" numFmtId="0" hierarchy="14" level="32767"/>
    <cacheField name="[Measures].[Suma de MARGEN DE CONTRIBUCIÓN (USD)]" caption="Suma de MARGEN DE CONTRIBUCIÓN (USD)" numFmtId="0" hierarchy="15" level="32767"/>
    <cacheField name="[Measures].[Suma de BASE 2: CF POR COMPLEJIDAD (USD)]" caption="Suma de BASE 2: CF POR COMPLEJIDAD (USD)" numFmtId="0" hierarchy="16" level="32767"/>
    <cacheField name="Dummy0" numFmtId="0" hierarchy="1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9">
    <cacheHierarchy uniqueName="[Rango].[METAL]" caption="METAL" attribute="1" defaultMemberUniqueName="[Rango].[METAL].[All]" allUniqueName="[Rango].[METAL].[All]" dimensionUniqueName="[Rango]" displayFolder="" count="2" memberValueDatatype="130" unbalanced="0">
      <fieldsUsage count="2">
        <fieldUsage x="-1"/>
        <fieldUsage x="0"/>
      </fieldsUsage>
    </cacheHierarchy>
    <cacheHierarchy uniqueName="[Rango].[INGRESOS TOTALES (USD)]" caption="INGRESOS TOTALES (USD)" attribute="1" defaultMemberUniqueName="[Rango].[INGRESOS TOTALES (USD)].[All]" allUniqueName="[Rango].[INGRESOS TOTALES (USD)].[All]" dimensionUniqueName="[Rango]" displayFolder="" count="0" memberValueDatatype="5" unbalanced="0"/>
    <cacheHierarchy uniqueName="[Rango].[COSTO VARIABLE TOTAL (USD)]" caption="COSTO VARIABLE TOTAL (USD)" attribute="1" defaultMemberUniqueName="[Rango].[COSTO VARIABLE TOTAL (USD)].[All]" allUniqueName="[Rango].[COSTO VARIABLE TOTAL (USD)].[All]" dimensionUniqueName="[Rango]" displayFolder="" count="0" memberValueDatatype="5" unbalanced="0"/>
    <cacheHierarchy uniqueName="[Rango].[MARGEN DE CONTRIBUCIÓN (USD)]" caption="MARGEN DE CONTRIBUCIÓN (USD)" attribute="1" defaultMemberUniqueName="[Rango].[MARGEN DE CONTRIBUCIÓN (USD)].[All]" allUniqueName="[Rango].[MARGEN DE CONTRIBUCIÓN (USD)].[All]" dimensionUniqueName="[Rango]" displayFolder="" count="0" memberValueDatatype="5" unbalanced="0"/>
    <cacheHierarchy uniqueName="[Rango].[% MC]" caption="% MC" attribute="1" defaultMemberUniqueName="[Rango].[% MC].[All]" allUniqueName="[Rango].[% MC].[All]" dimensionUniqueName="[Rango]" displayFolder="" count="0" memberValueDatatype="5" unbalanced="0"/>
    <cacheHierarchy uniqueName="[Rango].[% INGRESOS]" caption="% INGRESOS" attribute="1" defaultMemberUniqueName="[Rango].[% INGRESOS].[All]" allUniqueName="[Rango].[% INGRESOS].[All]" dimensionUniqueName="[Rango]" displayFolder="" count="0" memberValueDatatype="5" unbalanced="0"/>
    <cacheHierarchy uniqueName="[Rango].[BASE 1: CF POR INGRESOS (USD)]" caption="BASE 1: CF POR INGRESOS (USD)" attribute="1" defaultMemberUniqueName="[Rango].[BASE 1: CF POR INGRESOS (USD)].[All]" allUniqueName="[Rango].[BASE 1: CF POR INGRESOS (USD)].[All]" dimensionUniqueName="[Rango]" displayFolder="" count="0" memberValueDatatype="5" unbalanced="0"/>
    <cacheHierarchy uniqueName="[Rango].[UTILIDAD ABSORCIÓN]" caption="UTILIDAD ABSORCIÓN" attribute="1" defaultMemberUniqueName="[Rango].[UTILIDAD ABSORCIÓN].[All]" allUniqueName="[Rango].[UTILIDAD ABSORCIÓN].[All]" dimensionUniqueName="[Rango]" displayFolder="" count="0" memberValueDatatype="5" unbalanced="0"/>
    <cacheHierarchy uniqueName="[Rango].[% COMPLEJIDAD PLANTA]" caption="% COMPLEJIDAD PLANTA" attribute="1" defaultMemberUniqueName="[Rango].[% COMPLEJIDAD PLANTA].[All]" allUniqueName="[Rango].[% COMPLEJIDAD PLANTA].[All]" dimensionUniqueName="[Rango]" displayFolder="" count="0" memberValueDatatype="5" unbalanced="0"/>
    <cacheHierarchy uniqueName="[Rango].[BASE 2: CF POR COMPLEJIDAD (USD)]" caption="BASE 2: CF POR COMPLEJIDAD (USD)" attribute="1" defaultMemberUniqueName="[Rango].[BASE 2: CF POR COMPLEJIDAD (USD)].[All]" allUniqueName="[Rango].[BASE 2: CF POR COMPLEJIDAD (USD)].[All]" dimensionUniqueName="[Rango]" displayFolder="" count="0" memberValueDatatype="5" unbalanced="0"/>
    <cacheHierarchy uniqueName="[Rango].[UTILIDAD AJUSTADA]" caption="UTILIDAD AJUSTADA" attribute="1" defaultMemberUniqueName="[Rango].[UTILIDAD AJUSTADA].[All]" allUniqueName="[Rango].[UTILIDAD AJUSTADA].[All]" dimensionUniqueName="[Rango]" displayFolder="" count="0" memberValueDatatype="5" unbalanced="0"/>
    <cacheHierarchy uniqueName="[Rango].[SUBSIDIO CRUZADO / VAR. (USD)]" caption="SUBSIDIO CRUZADO / VAR. (USD)" attribute="1" defaultMemberUniqueName="[Rango].[SUBSIDIO CRUZADO / VAR. (USD)].[All]" allUniqueName="[Rango].[SUBSIDIO CRUZADO / VAR. (USD)].[All]" dimensionUniqueName="[Rango]" displayFolder="" count="0" memberValueDatatype="5" unbalanced="0"/>
    <cacheHierarchy uniqueName="[Measures].[__XL_Count Rango]" caption="__XL_Count Rango" measure="1" displayFolder="" measureGroup="Rango" count="0" hidden="1"/>
    <cacheHierarchy uniqueName="[Measures].[__No hay medidas definidas]" caption="__No hay medidas definidas" measure="1" displayFolder="" count="0" hidden="1"/>
    <cacheHierarchy uniqueName="[Measures].[Suma de INGRESOS TOTALES (USD)]" caption="Suma de INGRESOS TOTALES (USD)" measure="1" displayFolder="" measureGroup="Rango" count="0" oneField="1" hidden="1">
      <fieldsUsage count="1">
        <fieldUsage x="1"/>
      </fieldsUsage>
    </cacheHierarchy>
    <cacheHierarchy uniqueName="[Measures].[Suma de MARGEN DE CONTRIBUCIÓN (USD)]" caption="Suma de MARGEN DE CONTRIBUCIÓN (USD)" measure="1" displayFolder="" measureGroup="Rango" count="0" oneField="1" hidden="1">
      <fieldsUsage count="1">
        <fieldUsage x="2"/>
      </fieldsUsage>
    </cacheHierarchy>
    <cacheHierarchy uniqueName="[Measures].[Suma de BASE 2: CF POR COMPLEJIDAD (USD)]" caption="Suma de BASE 2: CF POR COMPLEJIDAD (USD)" measure="1" displayFolder="" measureGroup="Rango" count="0" oneField="1" hidden="1">
      <fieldsUsage count="1">
        <fieldUsage x="3"/>
      </fieldsUsage>
    </cacheHierarchy>
    <cacheHierarchy uniqueName="[Measures].[Suma de UTILIDAD ABSORCIÓN]" caption="Suma de UTILIDAD ABSORCIÓN" measure="1" displayFolder="" measureGroup="Rango" count="0" hidden="1"/>
    <cacheHierarchy uniqueName="Dummy0" caption="META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ICELY GUILLEN" refreshedDate="46287.067654282408" createdVersion="5" refreshedVersion="6" minRefreshableVersion="3" recordCount="0" supportSubquery="1" supportAdvancedDrill="1" xr:uid="{00000000-000A-0000-FFFF-FFFFA1000000}">
  <cacheSource type="external" connectionId="3"/>
  <cacheFields count="12">
    <cacheField name="[Measures].[porcentacompl]" caption="porcentacompl" numFmtId="0" hierarchy="24" level="32767"/>
    <cacheField name="[Measures].[distribuccfcomun]" caption="distribuccfcomun" numFmtId="0" hierarchy="25" level="32767"/>
    <cacheField name="[Tabla1].[METAL].[METAL]" caption="METAL" numFmtId="0" hierarchy="3" level="1">
      <sharedItems count="5">
        <s v="Cobre"/>
        <s v="Oro"/>
        <s v="Plata"/>
        <s v="Plomo"/>
        <s v="Zinc"/>
      </sharedItems>
    </cacheField>
    <cacheField name="[Measures].[Suma de VOLUMEN VENDIDO]" caption="Suma de VOLUMEN VENDIDO" numFmtId="0" hierarchy="16" level="32767"/>
    <cacheField name="[Measures].[Suma de INGRESO BRUTO (USD)]" caption="Suma de INGRESO BRUTO (USD)" numFmtId="0" hierarchy="17" level="32767"/>
    <cacheField name="[Measures].[Suma de PRECIO UNITARIO (USD)]" caption="Suma de PRECIO UNITARIO (USD)" numFmtId="0" hierarchy="18" level="32767"/>
    <cacheField name="[Measures].[Suma de CV UNITARIO]" caption="Suma de CV UNITARIO" numFmtId="0" hierarchy="19" level="32767"/>
    <cacheField name="[Measures].[Suma de COSTO VARIABLE TOTAL (USD)]" caption="Suma de COSTO VARIABLE TOTAL (USD)" numFmtId="0" hierarchy="20" level="32767"/>
    <cacheField name="[Measures].[Suma de MC TOTAL (USD)]" caption="Suma de MC TOTAL (USD)" numFmtId="0" hierarchy="21" level="32767"/>
    <cacheField name="[Measures].[porcentaING]" caption="porcentaING" numFmtId="0" hierarchy="26" level="32767"/>
    <cacheField name="[Measures].[distribuccfcomuning]" caption="distribuccfcomuning" numFmtId="0" hierarchy="27" level="32767"/>
    <cacheField name="Dummy0" numFmtId="0" hierarchy="31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2">
    <cacheHierarchy uniqueName="[Tabla1].[ID TRANSAC]" caption="ID TRANSAC" attribute="1" defaultMemberUniqueName="[Tabla1].[ID TRANSAC].[All]" allUniqueName="[Tabla1].[ID TRANSAC].[All]" dimensionUniqueName="[Tabla1]" displayFolder="" count="0" memberValueDatatype="130" unbalanced="0"/>
    <cacheHierarchy uniqueName="[Tabla1].[TRIMESTRE]" caption="TRIMESTRE" attribute="1" defaultMemberUniqueName="[Tabla1].[TRIMESTRE].[All]" allUniqueName="[Tabla1].[TRIMESTRE].[All]" dimensionUniqueName="[Tabla1]" displayFolder="" count="0" memberValueDatatype="130" unbalanced="0"/>
    <cacheHierarchy uniqueName="[Tabla1].[UNIDAD MINERA]" caption="UNIDAD MINERA" attribute="1" defaultMemberUniqueName="[Tabla1].[UNIDAD MINERA].[All]" allUniqueName="[Tabla1].[UNIDAD MINERA].[All]" dimensionUniqueName="[Tabla1]" displayFolder="" count="0" memberValueDatatype="130" unbalanced="0"/>
    <cacheHierarchy uniqueName="[Tabla1].[METAL]" caption="METAL" attribute="1" defaultMemberUniqueName="[Tabla1].[METAL].[All]" allUniqueName="[Tabla1].[METAL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VOLUMEN VENDIDO]" caption="VOLUMEN VENDIDO" attribute="1" defaultMemberUniqueName="[Tabla1].[VOLUMEN VENDIDO].[All]" allUniqueName="[Tabla1].[VOLUMEN VENDIDO].[All]" dimensionUniqueName="[Tabla1]" displayFolder="" count="0" memberValueDatatype="20" unbalanced="0"/>
    <cacheHierarchy uniqueName="[Tabla1].[UNIDAD MEDIDA]" caption="UNIDAD MEDIDA" attribute="1" defaultMemberUniqueName="[Tabla1].[UNIDAD MEDIDA].[All]" allUniqueName="[Tabla1].[UNIDAD MEDIDA].[All]" dimensionUniqueName="[Tabla1]" displayFolder="" count="0" memberValueDatatype="130" unbalanced="0"/>
    <cacheHierarchy uniqueName="[Tabla1].[PRECIO UNITARIO (USD)]" caption="PRECIO UNITARIO (USD)" attribute="1" defaultMemberUniqueName="[Tabla1].[PRECIO UNITARIO (USD)].[All]" allUniqueName="[Tabla1].[PRECIO UNITARIO (USD)].[All]" dimensionUniqueName="[Tabla1]" displayFolder="" count="0" memberValueDatatype="5" unbalanced="0"/>
    <cacheHierarchy uniqueName="[Tabla1].[INGRESO BRUTO (USD)]" caption="INGRESO BRUTO (USD)" attribute="1" defaultMemberUniqueName="[Tabla1].[INGRESO BRUTO (USD)].[All]" allUniqueName="[Tabla1].[INGRESO BRUTO (USD)].[All]" dimensionUniqueName="[Tabla1]" displayFolder="" count="0" memberValueDatatype="5" unbalanced="0"/>
    <cacheHierarchy uniqueName="[Tabla1].[CV UNITARIO]" caption="CV UNITARIO" attribute="1" defaultMemberUniqueName="[Tabla1].[CV UNITARIO].[All]" allUniqueName="[Tabla1].[CV UNITARIO].[All]" dimensionUniqueName="[Tabla1]" displayFolder="" count="0" memberValueDatatype="5" unbalanced="0"/>
    <cacheHierarchy uniqueName="[Tabla1].[COSTO VARIABLE TOTAL (USD)]" caption="COSTO VARIABLE TOTAL (USD)" attribute="1" defaultMemberUniqueName="[Tabla1].[COSTO VARIABLE TOTAL (USD)].[All]" allUniqueName="[Tabla1].[COSTO VARIABLE TOTAL (USD)].[All]" dimensionUniqueName="[Tabla1]" displayFolder="" count="0" memberValueDatatype="5" unbalanced="0"/>
    <cacheHierarchy uniqueName="[Tabla1].[MC UNITARIO (USD)]" caption="MC UNITARIO (USD)" attribute="1" defaultMemberUniqueName="[Tabla1].[MC UNITARIO (USD)].[All]" allUniqueName="[Tabla1].[MC UNITARIO (USD)].[All]" dimensionUniqueName="[Tabla1]" displayFolder="" count="0" memberValueDatatype="5" unbalanced="0"/>
    <cacheHierarchy uniqueName="[Tabla1].[MC TOTAL (USD)]" caption="MC TOTAL (USD)" attribute="1" defaultMemberUniqueName="[Tabla1].[MC TOTAL (USD)].[All]" allUniqueName="[Tabla1].[MC TOTAL (USD)].[All]" dimensionUniqueName="[Tabla1]" displayFolder="" count="0" memberValueDatatype="5" unbalanced="0"/>
    <cacheHierarchy uniqueName="[Tabla1].[% MC]" caption="% MC" attribute="1" defaultMemberUniqueName="[Tabla1].[% MC].[All]" allUniqueName="[Tabla1].[% MC].[All]" dimensionUniqueName="[Tabla1]" displayFolder="" count="0" memberValueDatatype="5" unbalanced="0"/>
    <cacheHierarchy uniqueName="[Tabla1].[COMPLEJIDAD X METAL UNITARIO]" caption="COMPLEJIDAD X METAL UNITARIO" attribute="1" defaultMemberUniqueName="[Tabla1].[COMPLEJIDAD X METAL UNITARIO].[All]" allUniqueName="[Tabla1].[COMPLEJIDAD X METAL UNITARIO].[All]" dimensionUniqueName="[Tabla1]" displayFolder="" count="0" memberValueDatatype="5" unbalanced="0"/>
    <cacheHierarchy uniqueName="[Tabla1].[COMPLEJIDAD X METAL total]" caption="COMPLEJIDAD X METAL total" attribute="1" defaultMemberUniqueName="[Tabla1].[COMPLEJIDAD X METAL total].[All]" allUniqueName="[Tabla1].[COMPLEJIDAD X METAL total].[All]" dimensionUniqueName="[Tabla1]" displayFolder="" count="0" memberValueDatatype="5" unbalanced="0"/>
    <cacheHierarchy uniqueName="[Tabla5].[VALOR]" caption="VALOR" attribute="1" defaultMemberUniqueName="[Tabla5].[VALOR].[All]" allUniqueName="[Tabla5].[VALOR].[All]" dimensionUniqueName="[Tabla5]" displayFolder="" count="0" memberValueDatatype="20" unbalanced="0"/>
    <cacheHierarchy uniqueName="[Measures].[Suma de VOLUMEN VENDIDO]" caption="Suma de VOLUMEN VENDIDO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INGRESO BRUTO (USD)]" caption="Suma de INGRESO BRUTO (USD)" measure="1" displayFolder="" measureGroup="Tabla1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PRECIO UNITARIO (USD)]" caption="Suma de PRECIO UNITARIO (USD)" measure="1" displayFolder="" measureGroup="Tabla1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CV UNITARIO]" caption="Suma de CV UNITARIO" measure="1" displayFolder="" measureGroup="Tabla1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COSTO VARIABLE TOTAL (USD)]" caption="Suma de COSTO VARIABLE TOTAL (USD)" measure="1" displayFolder="" measureGroup="Tabla1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MC TOTAL (USD)]" caption="Suma de MC TOTAL (USD)" measure="1" displayFolder="" measureGroup="Tabla1" count="0" oneField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% MC]" caption="Suma de % MC" measure="1" displayFolder="" measureGroup="Tabla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COSTOFIJO]" caption="TOTALCOSTOFIJO" measure="1" displayFolder="" measureGroup="Tabla5" count="0"/>
    <cacheHierarchy uniqueName="[Measures].[porcentacompl]" caption="porcentacompl" measure="1" displayFolder="" measureGroup="Tabla1" count="0" oneField="1">
      <fieldsUsage count="1">
        <fieldUsage x="0"/>
      </fieldsUsage>
    </cacheHierarchy>
    <cacheHierarchy uniqueName="[Measures].[distribuccfcomun]" caption="distribuccfcomun" measure="1" displayFolder="" measureGroup="Tabla1" count="0" oneField="1">
      <fieldsUsage count="1">
        <fieldUsage x="1"/>
      </fieldsUsage>
    </cacheHierarchy>
    <cacheHierarchy uniqueName="[Measures].[porcentaING]" caption="porcentaING" measure="1" displayFolder="" measureGroup="Tabla1" count="0" oneField="1">
      <fieldsUsage count="1">
        <fieldUsage x="9"/>
      </fieldsUsage>
    </cacheHierarchy>
    <cacheHierarchy uniqueName="[Measures].[distribuccfcomuning]" caption="distribuccfcomuning" measure="1" displayFolder="" measureGroup="Tabla1" count="0" oneField="1">
      <fieldsUsage count="1">
        <fieldUsage x="10"/>
      </fieldsUsage>
    </cacheHierarchy>
    <cacheHierarchy uniqueName="[Measures].[__XL_Count Tabla5]" caption="__XL_Count Tabla5" measure="1" displayFolder="" measureGroup="Tabla5" count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Dummy0" caption="ID TRANSAC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measure="1" name="Measures" uniqueName="[Measures]" caption="Measures"/>
    <dimension name="Tabla1" uniqueName="[Tabla1]" caption="Tabla1"/>
    <dimension name="Tabla5" uniqueName="[Tabla5]" caption="Tabla5"/>
  </dimensions>
  <measureGroups count="2">
    <measureGroup name="Tabla1" caption="Tabla1"/>
    <measureGroup name="Tabla5" caption="Tabla5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ICELY GUILLEN" refreshedDate="46287.429848148146" createdVersion="6" refreshedVersion="6" minRefreshableVersion="3" recordCount="3" xr:uid="{00000000-000A-0000-FFFF-FFFFA3000000}">
  <cacheSource type="scenario"/>
  <cacheFields count="3">
    <cacheField name="$B$13:$B$18" numFmtId="0">
      <sharedItems containsNonDate="0" count="3">
        <s v="BASE"/>
        <s v="OPTIMISTA"/>
        <s v="PESIMISTA"/>
      </sharedItems>
    </cacheField>
    <cacheField name="$B$13:$B$18 por" numFmtId="0">
      <sharedItems containsNonDate="0" count="1">
        <s v="CICELY GUILLEN"/>
      </sharedItems>
    </cacheField>
    <cacheField name="resultado $F$20" numFmtId="0">
      <sharedItems containsSemiMixedTypes="0" containsNonDate="0" containsString="0" containsNumber="1" minValue="111331521.90627442" maxValue="468783316.41607463" count="3">
        <n v="266205661.61692071"/>
        <n v="468783316.41607463"/>
        <n v="111331521.9062744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1" cacheId="1" applyNumberFormats="0" applyBorderFormats="0" applyFontFormats="0" applyPatternFormats="0" applyAlignmentFormats="0" applyWidthHeightFormats="1" dataCaption="Valores" tag="06c4cba1-d4e1-44e6-afb8-3d9d2ba25314" updatedVersion="6" minRefreshableVersion="3" useAutoFormatting="1" subtotalHiddenItems="1" itemPrintTitles="1" createdVersion="5" indent="0" outline="1" outlineData="1" multipleFieldFilters="0">
  <location ref="B3:M9" firstHeaderRow="0" firstDataRow="1" firstDataCol="1"/>
  <pivotFields count="12">
    <pivotField dataField="1" showAll="0"/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a de INGRESO BRUTO (USD)" fld="4" baseField="2" baseItem="0" numFmtId="169"/>
    <dataField name="Suma de VOLUMEN VENDIDO" fld="3" baseField="2" baseItem="0" numFmtId="43"/>
    <dataField fld="9" subtotal="count" baseField="2" baseItem="0" numFmtId="10"/>
    <dataField fld="10" subtotal="count" baseField="2" baseItem="0" numFmtId="169"/>
    <dataField fld="0" subtotal="count" baseField="2" baseItem="0" numFmtId="10"/>
    <dataField fld="1" subtotal="count" baseField="2" baseItem="0" numFmtId="169"/>
    <dataField name="Suma de PRECIO UNITARIO (USD)" fld="5" baseField="2" baseItem="0" numFmtId="169"/>
    <dataField name="Suma de CV UNITARIO" fld="6" baseField="2" baseItem="0" numFmtId="169"/>
    <dataField name="Suma de COSTO VARIABLE TOTAL (USD)" fld="7" baseField="2" baseItem="0" numFmtId="169"/>
    <dataField name="Suma de MC TOTAL (USD)" fld="8" baseField="2" baseItem="0" numFmtId="169"/>
    <dataField name="Suma de MC TOTAL (USD)2" fld="11" showDataAs="percentOfTotal" baseField="2" baseItem="1048829" numFmtId="10">
      <extLst>
        <ext xmlns:x14="http://schemas.microsoft.com/office/spreadsheetml/2009/9/main" uri="{E15A36E0-9728-4e99-A89B-3F7291B0FE68}">
          <x14:dataField sourceField="8" uniqueName="[__Xl2].[Measures].[Suma de MC TOTAL (USD)]"/>
        </ext>
      </extLst>
    </dataField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Medium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TablaDinámica9" cacheId="0" applyNumberFormats="0" applyBorderFormats="0" applyFontFormats="0" applyPatternFormats="0" applyAlignmentFormats="0" applyWidthHeightFormats="1" dataCaption="Valores" tag="3240e25a-835b-45e6-aaba-231bed0f48cd" updatedVersion="6" minRefreshableVersion="3" useAutoFormatting="1" subtotalHiddenItems="1" itemPrintTitles="1" createdVersion="6" indent="0" outline="1" outlineData="1" multipleFieldFilters="0">
  <location ref="A14:E20" firstHeaderRow="0" firstDataRow="1" firstDataCol="1"/>
  <pivotFields count="5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INGRESOS TOTALES (USD)" fld="1" baseField="0" baseItem="0"/>
    <dataField name="Suma de MARGEN DE CONTRIBUCIÓN (USD)" fld="2" baseField="0" baseItem="0"/>
    <dataField name="Suma de MARGEN DE CONTRIBUCIÓN (USD)2" fld="4" showDataAs="percentOfTotal" baseField="0" baseItem="0" numFmtId="10">
      <extLst>
        <ext xmlns:x14="http://schemas.microsoft.com/office/spreadsheetml/2009/9/main" uri="{E15A36E0-9728-4e99-A89B-3F7291B0FE68}">
          <x14:dataField sourceField="2" uniqueName="[__Xl2].[Measures].[Suma de MARGEN DE CONTRIBUCIÓN (USD)]"/>
        </ext>
      </extLst>
    </dataField>
    <dataField name="Suma de BASE 2: CF POR COMPLEJIDAD (USD)" fld="3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2000000}" name="TablaDinámica3" cacheId="2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" rowHeaderCaption="ESCENARIOS" fieldListSortAscending="1">
  <location ref="A3:B6" firstHeaderRow="1" firstDataRow="1" firstDataCol="1" rowPageCount="1" colPageCount="1"/>
  <pivotFields count="3">
    <pivotField axis="axisRow" showAll="0" defaultSubtotal="0">
      <items count="3">
        <item x="0"/>
        <item x="1"/>
        <item x="2"/>
      </items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pageFields count="1">
    <pageField fld="1" hier="-1"/>
  </pageFields>
  <dataFields count="1">
    <dataField name="UTILIDAD ANTES DE IMPUESTOS" fld="2" baseField="0" baseItem="0" numFmtId="169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a5" displayName="Tabla5" ref="B4:B5" totalsRowShown="0" headerRowDxfId="71" dataDxfId="70">
  <autoFilter ref="B4:B5" xr:uid="{00000000-0009-0000-0100-000005000000}"/>
  <tableColumns count="1">
    <tableColumn id="1" xr3:uid="{00000000-0010-0000-0000-000001000000}" name="VALOR" dataDxfId="6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a7" displayName="Tabla7" ref="A28:D33" totalsRowShown="0" headerRowDxfId="68" headerRowBorderDxfId="67" tableBorderDxfId="66">
  <autoFilter ref="A28:D33" xr:uid="{00000000-0009-0000-0100-000007000000}"/>
  <tableColumns count="4">
    <tableColumn id="1" xr3:uid="{00000000-0010-0000-0100-000001000000}" name="Rubro Corporativo" dataDxfId="65"/>
    <tableColumn id="2" xr3:uid="{00000000-0010-0000-0100-000002000000}" name="Descripción" dataDxfId="64"/>
    <tableColumn id="3" xr3:uid="{00000000-0010-0000-0100-000003000000}" name="Importe Anual (USD)" dataDxfId="63"/>
    <tableColumn id="4" xr3:uid="{00000000-0010-0000-0100-000004000000}" name="% del Total" dataDxfId="6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8:G25" totalsRowShown="0" headerRowDxfId="61" headerRowBorderDxfId="60" tableBorderDxfId="59" totalsRowBorderDxfId="58">
  <autoFilter ref="A8:G25" xr:uid="{00000000-0009-0000-0100-000008000000}"/>
  <tableColumns count="7">
    <tableColumn id="1" xr3:uid="{00000000-0010-0000-0200-000001000000}" name="MINA" dataDxfId="57"/>
    <tableColumn id="2" xr3:uid="{00000000-0010-0000-0200-000002000000}" name="METAL" dataDxfId="56"/>
    <tableColumn id="3" xr3:uid="{00000000-0010-0000-0200-000003000000}" name="PRECIO REALIZADO" dataDxfId="55"/>
    <tableColumn id="4" xr3:uid="{00000000-0010-0000-0200-000004000000}" name="UNIDAD MEDIDA" dataDxfId="54"/>
    <tableColumn id="5" xr3:uid="{00000000-0010-0000-0200-000005000000}" name="COSTO VARIABLE" dataDxfId="53"/>
    <tableColumn id="6" xr3:uid="{00000000-0010-0000-0200-000006000000}" name="LLAVE BÚSQUEDA" dataDxfId="52">
      <calculatedColumnFormula>A9&amp;"_"&amp;B9</calculatedColumnFormula>
    </tableColumn>
    <tableColumn id="7" xr3:uid="{00000000-0010-0000-0200-000007000000}" name="COMPLEJIDAD X METAL" dataDxfId="5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a1" displayName="Tabla1" ref="A3:O71" totalsRowShown="0" headerRowDxfId="50" headerRowBorderDxfId="49" tableBorderDxfId="48" totalsRowBorderDxfId="47">
  <autoFilter ref="A3:O71" xr:uid="{00000000-0009-0000-0100-000001000000}"/>
  <tableColumns count="15">
    <tableColumn id="1" xr3:uid="{00000000-0010-0000-0300-000001000000}" name="ID TRANSAC"/>
    <tableColumn id="2" xr3:uid="{00000000-0010-0000-0300-000002000000}" name="TRIMESTRE"/>
    <tableColumn id="3" xr3:uid="{00000000-0010-0000-0300-000003000000}" name="UNIDAD MINERA"/>
    <tableColumn id="4" xr3:uid="{00000000-0010-0000-0300-000004000000}" name="METAL" dataDxfId="46"/>
    <tableColumn id="5" xr3:uid="{00000000-0010-0000-0300-000005000000}" name="VOLUMEN VENDIDO"/>
    <tableColumn id="6" xr3:uid="{00000000-0010-0000-0300-000006000000}" name="UNIDAD MEDIDA" dataDxfId="45"/>
    <tableColumn id="7" xr3:uid="{00000000-0010-0000-0300-000007000000}" name="PRECIO UNITARIO (USD)"/>
    <tableColumn id="8" xr3:uid="{00000000-0010-0000-0300-000008000000}" name="INGRESO BRUTO (USD)"/>
    <tableColumn id="9" xr3:uid="{00000000-0010-0000-0300-000009000000}" name="CV UNITARIO"/>
    <tableColumn id="10" xr3:uid="{00000000-0010-0000-0300-00000A000000}" name="COSTO VARIABLE TOTAL (USD)" dataDxfId="44">
      <calculatedColumnFormula>Tabla1[[#This Row],[CV UNITARIO]]*Tabla1[[#This Row],[VOLUMEN VENDIDO]]</calculatedColumnFormula>
    </tableColumn>
    <tableColumn id="11" xr3:uid="{00000000-0010-0000-0300-00000B000000}" name="MC UNITARIO (USD)"/>
    <tableColumn id="12" xr3:uid="{00000000-0010-0000-0300-00000C000000}" name="MC TOTAL (USD)"/>
    <tableColumn id="13" xr3:uid="{00000000-0010-0000-0300-00000D000000}" name="% MC" dataDxfId="43" dataCellStyle="Porcentaje">
      <calculatedColumnFormula>+Tabla1[[#This Row],[MC TOTAL (USD)]]/Tabla1[[#This Row],[INGRESO BRUTO (USD)]]</calculatedColumnFormula>
    </tableColumn>
    <tableColumn id="14" xr3:uid="{00000000-0010-0000-0300-00000E000000}" name="COMPLEJIDAD X METAL UNITARIO" dataDxfId="42">
      <calculatedColumnFormula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calculatedColumnFormula>
    </tableColumn>
    <tableColumn id="15" xr3:uid="{00000000-0010-0000-0300-00000F000000}" name="COMPLEJIDAD X METAL total" dataDxfId="41">
      <calculatedColumnFormula>+Tabla1[[#This Row],[COMPLEJIDAD X METAL UNITARIO]]*Tabla1[[#This Row],[VOLUMEN VENDIDO]]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a2" displayName="Tabla2" ref="A5:L12" totalsRowShown="0" headerRowDxfId="40" headerRowBorderDxfId="39" tableBorderDxfId="38" totalsRowBorderDxfId="37">
  <autoFilter ref="A5:L12" xr:uid="{00000000-0009-0000-0100-000002000000}"/>
  <tableColumns count="12">
    <tableColumn id="1" xr3:uid="{00000000-0010-0000-0400-000001000000}" name="UNIDAD MINERA"/>
    <tableColumn id="2" xr3:uid="{00000000-0010-0000-0400-000002000000}" name="INGRESOS CONSOL. (USD)" dataDxfId="36"/>
    <tableColumn id="3" xr3:uid="{00000000-0010-0000-0400-000003000000}" name="COSTO VARIABLE CONSOL. (USD)" dataDxfId="35"/>
    <tableColumn id="4" xr3:uid="{00000000-0010-0000-0400-000004000000}" name="MARGEN CONTRIB. (MC) (USD)" dataDxfId="34">
      <calculatedColumnFormula>Tabla2[[#This Row],[INGRESOS CONSOL. (USD)]]-Tabla2[[#This Row],[COSTO VARIABLE CONSOL. (USD)]]</calculatedColumnFormula>
    </tableColumn>
    <tableColumn id="5" xr3:uid="{00000000-0010-0000-0400-000005000000}" name="% MC"/>
    <tableColumn id="6" xr3:uid="{00000000-0010-0000-0400-000006000000}" name="VOLUMEN MOLIDO (DMT)"/>
    <tableColumn id="7" xr3:uid="{00000000-0010-0000-0400-000007000000}" name="HORAS PLANTA (h)"/>
    <tableColumn id="8" xr3:uid="{00000000-0010-0000-0400-000008000000}" name="CF SEGÚN VOLUMEN (USD)"/>
    <tableColumn id="9" xr3:uid="{00000000-0010-0000-0400-000009000000}" name="CF SEGÚN HORAS (USD)"/>
    <tableColumn id="10" xr3:uid="{00000000-0010-0000-0400-00000A000000}" name="VARIACIÓN CF (USD)"/>
    <tableColumn id="11" xr3:uid="{00000000-0010-0000-0400-00000B000000}" name="UTILIDAD ABSORCIÓN (USD)"/>
    <tableColumn id="12" xr3:uid="{00000000-0010-0000-0400-00000C000000}" name="UTILIDAD AJUSTADA (USD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ametales" displayName="Tablametales" ref="A3:F9" totalsRowShown="0" headerRowDxfId="33" headerRowBorderDxfId="32" tableBorderDxfId="31" totalsRowBorderDxfId="30">
  <autoFilter ref="A3:F9" xr:uid="{00000000-0009-0000-0100-000003000000}"/>
  <tableColumns count="6">
    <tableColumn id="1" xr3:uid="{00000000-0010-0000-0500-000001000000}" name="METAL"/>
    <tableColumn id="2" xr3:uid="{00000000-0010-0000-0500-000002000000}" name="INGRESOS TOTALES (USD)" dataDxfId="29"/>
    <tableColumn id="3" xr3:uid="{00000000-0010-0000-0500-000003000000}" name="COSTO VARIABLE TOTAL (USD)" dataDxfId="28"/>
    <tableColumn id="4" xr3:uid="{00000000-0010-0000-0500-000004000000}" name="MARGEN DE CONTRIBUCIÓN (USD)" dataDxfId="27">
      <calculatedColumnFormula>Tablametales[[#This Row],[INGRESOS TOTALES (USD)]]-Tablametales[[#This Row],[COSTO VARIABLE TOTAL (USD)]]</calculatedColumnFormula>
    </tableColumn>
    <tableColumn id="5" xr3:uid="{00000000-0010-0000-0500-000005000000}" name="% MC" dataDxfId="26" dataCellStyle="Porcentaje">
      <calculatedColumnFormula>+Tablametales[[#This Row],[MARGEN DE CONTRIBUCIÓN (USD)]]/Tablametales[[#This Row],[INGRESOS TOTALES (USD)]]</calculatedColumnFormula>
    </tableColumn>
    <tableColumn id="6" xr3:uid="{00000000-0010-0000-0500-000006000000}" name="Complejidad" dataDxfId="25" dataCellStyle="Porcentaje">
      <calculatedColumnFormula>SUMIFS(Tabla1[COMPLEJIDAD X METAL total],Tabla1[METAL], Tablametales[[#This Row],[METAL]])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a4" displayName="Tabla4" ref="G3:M9" totalsRowShown="0" headerRowDxfId="24" tableBorderDxfId="23">
  <autoFilter ref="G3:M9" xr:uid="{00000000-0009-0000-0100-000004000000}"/>
  <tableColumns count="7">
    <tableColumn id="1" xr3:uid="{00000000-0010-0000-0600-000001000000}" name="% INGRESOS" dataDxfId="22"/>
    <tableColumn id="2" xr3:uid="{00000000-0010-0000-0600-000002000000}" name="BASE 1: CF POR INGRESOS (USD)" dataDxfId="21"/>
    <tableColumn id="3" xr3:uid="{00000000-0010-0000-0600-000003000000}" name="UTILIDAD ABSORCIÓN" dataDxfId="20"/>
    <tableColumn id="4" xr3:uid="{00000000-0010-0000-0600-000004000000}" name="% COMPLEJIDAD PLANTA" dataDxfId="19"/>
    <tableColumn id="5" xr3:uid="{00000000-0010-0000-0600-000005000000}" name="BASE 2: CF POR COMPLEJIDAD (USD)" dataDxfId="18"/>
    <tableColumn id="6" xr3:uid="{00000000-0010-0000-0600-000006000000}" name="UTILIDAD AJUSTADA" dataDxfId="17"/>
    <tableColumn id="7" xr3:uid="{00000000-0010-0000-0600-000007000000}" name="SUBSIDIO CRUZADO / VAR. (USD)" dataDxfId="1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a6" displayName="Tabla6" ref="H12:H18" totalsRowShown="0" headerRowDxfId="15" headerRowBorderDxfId="14" tableBorderDxfId="13">
  <autoFilter ref="H12:H18" xr:uid="{00000000-0009-0000-0100-000006000000}"/>
  <tableColumns count="1">
    <tableColumn id="1" xr3:uid="{00000000-0010-0000-0700-000001000000}" name="VOLUMEN VENDIDO POR METALES" dataDxfId="1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9" displayName="Tabla9" ref="A6:E12" totalsRowShown="0" headerRowDxfId="11" headerRowBorderDxfId="10" tableBorderDxfId="9" totalsRowBorderDxfId="8" headerRowCellStyle="Normal 2">
  <autoFilter ref="A6:E12" xr:uid="{00000000-0009-0000-0100-000009000000}"/>
  <tableColumns count="5">
    <tableColumn id="1" xr3:uid="{00000000-0010-0000-0800-000001000000}" name="UNIDAD MINERA" dataDxfId="7" dataCellStyle="Normal 2"/>
    <tableColumn id="2" xr3:uid="{00000000-0010-0000-0800-000002000000}" name="INGRESOS (USD)" dataDxfId="6" dataCellStyle="Normal 2"/>
    <tableColumn id="3" xr3:uid="{00000000-0010-0000-0800-000003000000}" name="COSTO VARIABLE (USD)" dataDxfId="5" dataCellStyle="Normal 2"/>
    <tableColumn id="4" xr3:uid="{00000000-0010-0000-0800-000004000000}" name="MARGEN CONTRIB. (USD)" dataDxfId="4" dataCellStyle="Normal 2"/>
    <tableColumn id="5" xr3:uid="{00000000-0010-0000-0800-000005000000}" name="% MC" dataDxfId="3" dataCellStyle="Normal 2">
      <calculatedColumnFormula>IF(Tabla9[[#This Row],[INGRESOS (USD)]]=0,0,Tabla9[[#This Row],[MARGEN CONTRIB. (USD)]]/Tabla9[[#This Row],[INGRESOS (USD)]])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3"/>
  <sheetViews>
    <sheetView showGridLines="0" zoomScale="30" workbookViewId="0">
      <selection activeCell="D18" sqref="D18"/>
    </sheetView>
  </sheetViews>
  <sheetFormatPr baseColWidth="10" defaultColWidth="8.81640625" defaultRowHeight="14.5"/>
  <cols>
    <col min="1" max="1" width="8.81640625" style="27"/>
    <col min="2" max="2" width="3.81640625" style="27" customWidth="1"/>
    <col min="3" max="3" width="42.6328125" customWidth="1"/>
    <col min="4" max="4" width="52.453125" customWidth="1"/>
    <col min="5" max="5" width="45" customWidth="1"/>
    <col min="6" max="7" width="12" customWidth="1"/>
    <col min="8" max="8" width="31.6328125" customWidth="1"/>
    <col min="9" max="9" width="45.1796875" customWidth="1"/>
  </cols>
  <sheetData>
    <row r="1" spans="1:9">
      <c r="C1" s="217"/>
      <c r="D1" s="218"/>
      <c r="E1" s="218"/>
      <c r="F1" s="218"/>
      <c r="G1" s="218"/>
      <c r="H1" s="218"/>
      <c r="I1" s="218"/>
    </row>
    <row r="2" spans="1:9">
      <c r="C2" s="218"/>
      <c r="D2" s="218"/>
      <c r="E2" s="218"/>
      <c r="F2" s="218"/>
      <c r="G2" s="218"/>
      <c r="H2" s="218"/>
      <c r="I2" s="218"/>
    </row>
    <row r="3" spans="1:9" ht="22" customHeight="1">
      <c r="B3" s="12"/>
      <c r="C3" s="220"/>
      <c r="D3" s="218"/>
      <c r="E3" s="218"/>
      <c r="F3" s="218"/>
      <c r="G3" s="218"/>
      <c r="H3" s="218"/>
      <c r="I3" s="218"/>
    </row>
    <row r="4" spans="1:9" ht="16.5">
      <c r="B4" s="12"/>
    </row>
    <row r="5" spans="1:9" ht="16.5">
      <c r="B5" s="12"/>
      <c r="D5" s="219"/>
      <c r="E5" s="218"/>
      <c r="F5" s="218"/>
      <c r="G5" s="218"/>
      <c r="H5" s="218"/>
      <c r="I5" s="218"/>
    </row>
    <row r="6" spans="1:9" ht="16.5">
      <c r="B6" s="12"/>
      <c r="C6" s="1"/>
      <c r="D6" s="219"/>
      <c r="E6" s="218"/>
      <c r="F6" s="218"/>
      <c r="G6" s="218"/>
      <c r="H6" s="218"/>
      <c r="I6" s="218"/>
    </row>
    <row r="7" spans="1:9" ht="29">
      <c r="B7" s="12"/>
      <c r="C7" s="1"/>
      <c r="D7" s="221" t="s">
        <v>134</v>
      </c>
      <c r="E7" s="221"/>
      <c r="F7" s="221"/>
      <c r="G7" s="221"/>
      <c r="H7" s="221"/>
      <c r="I7" s="221"/>
    </row>
    <row r="8" spans="1:9" ht="29">
      <c r="B8" s="12"/>
      <c r="D8" s="33" t="s">
        <v>144</v>
      </c>
      <c r="E8" s="33"/>
      <c r="F8" s="33"/>
      <c r="G8" s="33"/>
      <c r="H8" s="33"/>
      <c r="I8" s="33"/>
    </row>
    <row r="9" spans="1:9" ht="29">
      <c r="B9" s="12"/>
      <c r="D9" s="33" t="s">
        <v>135</v>
      </c>
      <c r="E9" s="33"/>
      <c r="F9" s="33"/>
      <c r="G9" s="33"/>
      <c r="H9" s="33"/>
      <c r="I9" s="33"/>
    </row>
    <row r="10" spans="1:9" ht="16.5">
      <c r="B10" s="12"/>
    </row>
    <row r="11" spans="1:9" s="35" customFormat="1" ht="38.5">
      <c r="A11" s="27"/>
      <c r="B11" s="12"/>
      <c r="D11" s="34" t="s">
        <v>330</v>
      </c>
    </row>
    <row r="12" spans="1:9" s="35" customFormat="1" ht="32">
      <c r="A12" s="27"/>
      <c r="B12" s="12"/>
      <c r="D12" s="36" t="s">
        <v>145</v>
      </c>
    </row>
    <row r="13" spans="1:9" ht="16.5">
      <c r="B13" s="12"/>
    </row>
    <row r="14" spans="1:9" ht="29">
      <c r="B14" s="12"/>
      <c r="D14" s="33" t="s">
        <v>136</v>
      </c>
      <c r="E14" s="33" t="s">
        <v>141</v>
      </c>
      <c r="F14" s="33" t="s">
        <v>146</v>
      </c>
    </row>
    <row r="15" spans="1:9" ht="28.5">
      <c r="B15" s="12"/>
      <c r="D15" s="32" t="s">
        <v>137</v>
      </c>
      <c r="E15" s="32" t="s">
        <v>148</v>
      </c>
      <c r="F15" s="32" t="s">
        <v>147</v>
      </c>
    </row>
    <row r="16" spans="1:9" ht="29">
      <c r="B16" s="12"/>
      <c r="D16" s="32" t="s">
        <v>138</v>
      </c>
      <c r="E16" s="33" t="s">
        <v>142</v>
      </c>
    </row>
    <row r="17" spans="2:5" ht="28.5">
      <c r="B17" s="12"/>
      <c r="D17" s="32" t="s">
        <v>139</v>
      </c>
      <c r="E17" s="32" t="s">
        <v>143</v>
      </c>
    </row>
    <row r="18" spans="2:5" ht="26" customHeight="1">
      <c r="B18" s="12"/>
      <c r="D18" s="32" t="s">
        <v>140</v>
      </c>
    </row>
    <row r="19" spans="2:5" ht="16.5">
      <c r="B19" s="12"/>
    </row>
    <row r="20" spans="2:5" ht="16.5">
      <c r="B20" s="12"/>
    </row>
    <row r="21" spans="2:5" ht="16.5">
      <c r="B21" s="12"/>
    </row>
    <row r="22" spans="2:5" ht="16.5">
      <c r="B22" s="12"/>
    </row>
    <row r="23" spans="2:5" ht="16.5">
      <c r="B23" s="12"/>
    </row>
    <row r="24" spans="2:5" ht="16.5">
      <c r="B24" s="12"/>
    </row>
    <row r="25" spans="2:5" ht="16.5">
      <c r="B25" s="12"/>
    </row>
    <row r="26" spans="2:5" ht="16.5">
      <c r="B26" s="12"/>
    </row>
    <row r="27" spans="2:5" ht="16.5">
      <c r="B27" s="12"/>
    </row>
    <row r="28" spans="2:5" ht="16.5">
      <c r="B28" s="12"/>
    </row>
    <row r="29" spans="2:5" ht="16.5">
      <c r="B29" s="12"/>
    </row>
    <row r="30" spans="2:5" ht="16.5">
      <c r="B30" s="12"/>
    </row>
    <row r="31" spans="2:5" ht="16.5">
      <c r="B31" s="12"/>
    </row>
    <row r="32" spans="2:5" ht="16.5">
      <c r="B32" s="12"/>
    </row>
    <row r="33" spans="2:2" ht="16.5">
      <c r="B33" s="12"/>
    </row>
    <row r="34" spans="2:2" ht="16.5">
      <c r="B34" s="12"/>
    </row>
    <row r="35" spans="2:2" ht="16.5">
      <c r="B35" s="12"/>
    </row>
    <row r="36" spans="2:2" ht="16.5">
      <c r="B36" s="12"/>
    </row>
    <row r="37" spans="2:2" ht="16.5">
      <c r="B37" s="12"/>
    </row>
    <row r="38" spans="2:2" ht="16.5">
      <c r="B38" s="12"/>
    </row>
    <row r="39" spans="2:2" ht="16.5">
      <c r="B39" s="12"/>
    </row>
    <row r="40" spans="2:2" ht="16.5">
      <c r="B40" s="12"/>
    </row>
    <row r="41" spans="2:2" ht="16.5">
      <c r="B41" s="12"/>
    </row>
    <row r="42" spans="2:2" ht="16.5">
      <c r="B42" s="12"/>
    </row>
    <row r="43" spans="2:2" ht="16.5">
      <c r="B43" s="12"/>
    </row>
    <row r="44" spans="2:2" ht="16.5">
      <c r="B44" s="12"/>
    </row>
    <row r="45" spans="2:2" ht="16.5">
      <c r="B45" s="12"/>
    </row>
    <row r="46" spans="2:2" ht="16.5">
      <c r="B46" s="12"/>
    </row>
    <row r="47" spans="2:2" ht="16.5">
      <c r="B47" s="12"/>
    </row>
    <row r="48" spans="2:2" ht="16.5">
      <c r="B48" s="12"/>
    </row>
    <row r="49" spans="2:2" ht="16.5">
      <c r="B49" s="12"/>
    </row>
    <row r="50" spans="2:2" ht="16.5">
      <c r="B50" s="12"/>
    </row>
    <row r="51" spans="2:2" ht="16.5">
      <c r="B51" s="12"/>
    </row>
    <row r="52" spans="2:2" ht="16.5">
      <c r="B52" s="12"/>
    </row>
    <row r="53" spans="2:2" ht="16.5">
      <c r="B53" s="12"/>
    </row>
    <row r="54" spans="2:2" ht="16.5">
      <c r="B54" s="12"/>
    </row>
    <row r="55" spans="2:2" ht="16.5">
      <c r="B55" s="12"/>
    </row>
    <row r="56" spans="2:2" ht="16.5">
      <c r="B56" s="12"/>
    </row>
    <row r="57" spans="2:2" ht="16.5">
      <c r="B57" s="12"/>
    </row>
    <row r="58" spans="2:2" ht="16.5">
      <c r="B58" s="12"/>
    </row>
    <row r="59" spans="2:2" ht="16.5">
      <c r="B59" s="12"/>
    </row>
    <row r="60" spans="2:2" ht="16.5">
      <c r="B60" s="12"/>
    </row>
    <row r="61" spans="2:2" ht="16.5">
      <c r="B61" s="12"/>
    </row>
    <row r="62" spans="2:2" ht="16.5">
      <c r="B62" s="12"/>
    </row>
    <row r="63" spans="2:2" ht="16.5">
      <c r="B63" s="12"/>
    </row>
    <row r="64" spans="2:2" ht="16.5">
      <c r="B64" s="12"/>
    </row>
    <row r="65" spans="2:2" ht="16.5">
      <c r="B65" s="12"/>
    </row>
    <row r="66" spans="2:2" ht="16.5">
      <c r="B66" s="12"/>
    </row>
    <row r="67" spans="2:2" ht="16.5">
      <c r="B67" s="12"/>
    </row>
    <row r="68" spans="2:2" ht="16.5">
      <c r="B68" s="12"/>
    </row>
    <row r="69" spans="2:2" ht="16.5">
      <c r="B69" s="12"/>
    </row>
    <row r="70" spans="2:2" ht="16.5">
      <c r="B70" s="12"/>
    </row>
    <row r="71" spans="2:2" ht="16.5">
      <c r="B71" s="12"/>
    </row>
    <row r="72" spans="2:2" ht="16.5">
      <c r="B72" s="12"/>
    </row>
    <row r="73" spans="2:2" ht="16.5">
      <c r="B73" s="12"/>
    </row>
    <row r="74" spans="2:2" ht="16.5">
      <c r="B74" s="12"/>
    </row>
    <row r="75" spans="2:2" ht="16.5">
      <c r="B75" s="12"/>
    </row>
    <row r="76" spans="2:2" ht="16.5">
      <c r="B76" s="12"/>
    </row>
    <row r="77" spans="2:2" ht="16.5">
      <c r="B77" s="12"/>
    </row>
    <row r="78" spans="2:2" ht="16.5">
      <c r="B78" s="12"/>
    </row>
    <row r="79" spans="2:2" ht="16.5">
      <c r="B79" s="12"/>
    </row>
    <row r="80" spans="2:2" ht="16.5">
      <c r="B80" s="12"/>
    </row>
    <row r="81" spans="2:2" ht="16.5">
      <c r="B81" s="12"/>
    </row>
    <row r="82" spans="2:2" ht="16.5">
      <c r="B82" s="12"/>
    </row>
    <row r="83" spans="2:2" ht="16.5">
      <c r="B83" s="12"/>
    </row>
    <row r="84" spans="2:2" ht="16.5">
      <c r="B84" s="12"/>
    </row>
    <row r="85" spans="2:2" ht="16.5">
      <c r="B85" s="12"/>
    </row>
    <row r="86" spans="2:2" ht="16.5">
      <c r="B86" s="12"/>
    </row>
    <row r="87" spans="2:2" ht="16.5">
      <c r="B87" s="12"/>
    </row>
    <row r="88" spans="2:2" ht="16.5">
      <c r="B88" s="12"/>
    </row>
    <row r="89" spans="2:2" ht="16.5">
      <c r="B89" s="12"/>
    </row>
    <row r="90" spans="2:2" ht="16.5">
      <c r="B90" s="12"/>
    </row>
    <row r="91" spans="2:2" ht="16.5">
      <c r="B91" s="12"/>
    </row>
    <row r="92" spans="2:2" ht="16.5">
      <c r="B92" s="12"/>
    </row>
    <row r="93" spans="2:2" ht="16.5">
      <c r="B93" s="12"/>
    </row>
    <row r="94" spans="2:2" ht="16.5">
      <c r="B94" s="12"/>
    </row>
    <row r="95" spans="2:2" ht="16.5">
      <c r="B95" s="12"/>
    </row>
    <row r="96" spans="2:2" ht="16.5">
      <c r="B96" s="12"/>
    </row>
    <row r="97" spans="2:2" ht="16.5">
      <c r="B97" s="12"/>
    </row>
    <row r="98" spans="2:2" ht="16.5">
      <c r="B98" s="12"/>
    </row>
    <row r="99" spans="2:2" ht="16.5">
      <c r="B99" s="12"/>
    </row>
    <row r="100" spans="2:2" ht="16.5">
      <c r="B100" s="12"/>
    </row>
    <row r="101" spans="2:2" ht="16.5">
      <c r="B101" s="12"/>
    </row>
    <row r="102" spans="2:2" ht="16.5">
      <c r="B102" s="12"/>
    </row>
    <row r="103" spans="2:2" ht="16.5">
      <c r="B103" s="12"/>
    </row>
    <row r="104" spans="2:2" ht="16.5">
      <c r="B104" s="12"/>
    </row>
    <row r="105" spans="2:2" ht="16.5">
      <c r="B105" s="12"/>
    </row>
    <row r="106" spans="2:2" ht="16.5">
      <c r="B106" s="12"/>
    </row>
    <row r="107" spans="2:2" ht="16.5">
      <c r="B107" s="12"/>
    </row>
    <row r="108" spans="2:2" ht="16.5">
      <c r="B108" s="12"/>
    </row>
    <row r="109" spans="2:2" ht="16.5">
      <c r="B109" s="12"/>
    </row>
    <row r="110" spans="2:2" ht="16.5">
      <c r="B110" s="12"/>
    </row>
    <row r="111" spans="2:2" ht="16.5">
      <c r="B111" s="12"/>
    </row>
    <row r="112" spans="2:2" ht="16.5">
      <c r="B112" s="12"/>
    </row>
    <row r="113" spans="2:2" ht="16.5">
      <c r="B113" s="12"/>
    </row>
    <row r="114" spans="2:2" ht="16.5">
      <c r="B114" s="12"/>
    </row>
    <row r="115" spans="2:2" ht="16.5">
      <c r="B115" s="12"/>
    </row>
    <row r="116" spans="2:2" ht="16.5">
      <c r="B116" s="12"/>
    </row>
    <row r="117" spans="2:2" ht="16.5">
      <c r="B117" s="12"/>
    </row>
    <row r="118" spans="2:2" ht="16.5">
      <c r="B118" s="12"/>
    </row>
    <row r="119" spans="2:2" ht="16.5">
      <c r="B119" s="12"/>
    </row>
    <row r="120" spans="2:2" ht="16.5">
      <c r="B120" s="12"/>
    </row>
    <row r="121" spans="2:2" ht="16.5">
      <c r="B121" s="12"/>
    </row>
    <row r="122" spans="2:2" ht="16.5">
      <c r="B122" s="12"/>
    </row>
    <row r="123" spans="2:2" ht="16.5">
      <c r="B123" s="12"/>
    </row>
    <row r="124" spans="2:2" ht="16.5">
      <c r="B124" s="12"/>
    </row>
    <row r="125" spans="2:2" ht="16.5">
      <c r="B125" s="12"/>
    </row>
    <row r="126" spans="2:2" ht="16.5">
      <c r="B126" s="12"/>
    </row>
    <row r="127" spans="2:2" ht="16.5">
      <c r="B127" s="12"/>
    </row>
    <row r="128" spans="2:2" ht="16.5">
      <c r="B128" s="12"/>
    </row>
    <row r="129" spans="2:2" ht="16.5">
      <c r="B129" s="12"/>
    </row>
    <row r="130" spans="2:2" ht="16.5">
      <c r="B130" s="12"/>
    </row>
    <row r="131" spans="2:2" ht="16.5">
      <c r="B131" s="12"/>
    </row>
    <row r="132" spans="2:2" ht="16.5">
      <c r="B132" s="12"/>
    </row>
    <row r="133" spans="2:2" ht="16.5">
      <c r="B133" s="12"/>
    </row>
    <row r="134" spans="2:2" ht="16.5">
      <c r="B134" s="12"/>
    </row>
    <row r="135" spans="2:2" ht="16.5">
      <c r="B135" s="12"/>
    </row>
    <row r="136" spans="2:2" ht="16.5">
      <c r="B136" s="12"/>
    </row>
    <row r="137" spans="2:2" ht="16.5">
      <c r="B137" s="12"/>
    </row>
    <row r="138" spans="2:2" ht="16.5">
      <c r="B138" s="12"/>
    </row>
    <row r="139" spans="2:2" ht="16.5">
      <c r="B139" s="12"/>
    </row>
    <row r="140" spans="2:2" ht="16.5">
      <c r="B140" s="12"/>
    </row>
    <row r="141" spans="2:2" ht="16.5">
      <c r="B141" s="12"/>
    </row>
    <row r="142" spans="2:2" ht="16.5">
      <c r="B142" s="12"/>
    </row>
    <row r="143" spans="2:2" ht="16.5">
      <c r="B143" s="12"/>
    </row>
    <row r="144" spans="2:2" ht="16.5">
      <c r="B144" s="12"/>
    </row>
    <row r="145" spans="2:2" ht="16.5">
      <c r="B145" s="12"/>
    </row>
    <row r="146" spans="2:2" ht="16.5">
      <c r="B146" s="12"/>
    </row>
    <row r="147" spans="2:2" ht="16.5">
      <c r="B147" s="12"/>
    </row>
    <row r="148" spans="2:2" ht="16.5">
      <c r="B148" s="12"/>
    </row>
    <row r="149" spans="2:2" ht="16.5">
      <c r="B149" s="12"/>
    </row>
    <row r="150" spans="2:2" ht="16.5">
      <c r="B150" s="12"/>
    </row>
    <row r="151" spans="2:2" ht="16.5">
      <c r="B151" s="12"/>
    </row>
    <row r="152" spans="2:2" ht="16.5">
      <c r="B152" s="12"/>
    </row>
    <row r="153" spans="2:2" ht="16.5">
      <c r="B153" s="12"/>
    </row>
    <row r="154" spans="2:2" ht="16.5">
      <c r="B154" s="12"/>
    </row>
    <row r="155" spans="2:2" ht="16.5">
      <c r="B155" s="12"/>
    </row>
    <row r="156" spans="2:2" ht="16.5">
      <c r="B156" s="12"/>
    </row>
    <row r="157" spans="2:2" ht="16.5">
      <c r="B157" s="12"/>
    </row>
    <row r="158" spans="2:2" ht="16.5">
      <c r="B158" s="12"/>
    </row>
    <row r="159" spans="2:2" ht="16.5">
      <c r="B159" s="12"/>
    </row>
    <row r="160" spans="2:2" ht="16.5">
      <c r="B160" s="12"/>
    </row>
    <row r="161" spans="2:2" ht="16.5">
      <c r="B161" s="12"/>
    </row>
    <row r="162" spans="2:2" ht="16.5">
      <c r="B162" s="12"/>
    </row>
    <row r="163" spans="2:2" ht="16.5">
      <c r="B163" s="12"/>
    </row>
    <row r="164" spans="2:2" ht="16.5">
      <c r="B164" s="12"/>
    </row>
    <row r="165" spans="2:2" ht="16.5">
      <c r="B165" s="12"/>
    </row>
    <row r="166" spans="2:2" ht="16.5">
      <c r="B166" s="12"/>
    </row>
    <row r="167" spans="2:2" ht="16.5">
      <c r="B167" s="12"/>
    </row>
    <row r="168" spans="2:2" ht="16.5">
      <c r="B168" s="12"/>
    </row>
    <row r="169" spans="2:2" ht="16.5">
      <c r="B169" s="12"/>
    </row>
    <row r="170" spans="2:2" ht="16.5">
      <c r="B170" s="12"/>
    </row>
    <row r="171" spans="2:2" ht="16.5">
      <c r="B171" s="12"/>
    </row>
    <row r="172" spans="2:2" ht="16.5">
      <c r="B172" s="12"/>
    </row>
    <row r="173" spans="2:2" ht="16.5">
      <c r="B173" s="12"/>
    </row>
    <row r="174" spans="2:2" ht="16.5">
      <c r="B174" s="12"/>
    </row>
    <row r="175" spans="2:2" ht="16.5">
      <c r="B175" s="12"/>
    </row>
    <row r="176" spans="2:2" ht="16.5">
      <c r="B176" s="12"/>
    </row>
    <row r="177" spans="2:2" ht="16.5">
      <c r="B177" s="12"/>
    </row>
    <row r="178" spans="2:2" ht="16.5">
      <c r="B178" s="12"/>
    </row>
    <row r="179" spans="2:2" ht="16.5">
      <c r="B179" s="12"/>
    </row>
    <row r="180" spans="2:2" ht="16.5">
      <c r="B180" s="12"/>
    </row>
    <row r="181" spans="2:2" ht="16.5">
      <c r="B181" s="12"/>
    </row>
    <row r="182" spans="2:2" ht="16.5">
      <c r="B182" s="12"/>
    </row>
    <row r="183" spans="2:2" ht="16.5">
      <c r="B183" s="12"/>
    </row>
    <row r="184" spans="2:2" ht="16.5">
      <c r="B184" s="12"/>
    </row>
    <row r="185" spans="2:2" ht="16.5">
      <c r="B185" s="12"/>
    </row>
    <row r="186" spans="2:2" ht="16.5">
      <c r="B186" s="12"/>
    </row>
    <row r="187" spans="2:2" ht="16.5">
      <c r="B187" s="12"/>
    </row>
    <row r="188" spans="2:2" ht="16.5">
      <c r="B188" s="12"/>
    </row>
    <row r="189" spans="2:2" ht="16.5">
      <c r="B189" s="12"/>
    </row>
    <row r="190" spans="2:2" ht="16.5">
      <c r="B190" s="12"/>
    </row>
    <row r="191" spans="2:2" ht="16.5">
      <c r="B191" s="12"/>
    </row>
    <row r="192" spans="2:2" ht="16.5">
      <c r="B192" s="12"/>
    </row>
    <row r="193" spans="2:2" ht="16.5">
      <c r="B193" s="12"/>
    </row>
    <row r="194" spans="2:2" ht="16.5">
      <c r="B194" s="12"/>
    </row>
    <row r="195" spans="2:2" ht="16.5">
      <c r="B195" s="12"/>
    </row>
    <row r="196" spans="2:2" ht="16.5">
      <c r="B196" s="12"/>
    </row>
    <row r="197" spans="2:2" ht="16.5">
      <c r="B197" s="12"/>
    </row>
    <row r="198" spans="2:2" ht="16.5">
      <c r="B198" s="12"/>
    </row>
    <row r="199" spans="2:2" ht="16.5">
      <c r="B199" s="12"/>
    </row>
    <row r="200" spans="2:2" ht="16.5">
      <c r="B200" s="12"/>
    </row>
    <row r="201" spans="2:2" ht="16.5">
      <c r="B201" s="12"/>
    </row>
    <row r="202" spans="2:2" ht="16.5">
      <c r="B202" s="12"/>
    </row>
    <row r="203" spans="2:2" ht="16.5">
      <c r="B203" s="12"/>
    </row>
    <row r="204" spans="2:2" ht="16.5">
      <c r="B204" s="12"/>
    </row>
    <row r="205" spans="2:2" ht="16.5">
      <c r="B205" s="12"/>
    </row>
    <row r="206" spans="2:2" ht="16.5">
      <c r="B206" s="12"/>
    </row>
    <row r="207" spans="2:2" ht="16.5">
      <c r="B207" s="12"/>
    </row>
    <row r="208" spans="2:2" ht="16.5">
      <c r="B208" s="12"/>
    </row>
    <row r="209" spans="2:2" ht="16.5">
      <c r="B209" s="12"/>
    </row>
    <row r="210" spans="2:2" ht="16.5">
      <c r="B210" s="12"/>
    </row>
    <row r="211" spans="2:2" ht="16.5">
      <c r="B211" s="12"/>
    </row>
    <row r="212" spans="2:2" ht="16.5">
      <c r="B212" s="12"/>
    </row>
    <row r="213" spans="2:2" ht="16.5">
      <c r="B213" s="12"/>
    </row>
    <row r="214" spans="2:2" ht="16.5">
      <c r="B214" s="12"/>
    </row>
    <row r="215" spans="2:2" ht="16.5">
      <c r="B215" s="12"/>
    </row>
    <row r="216" spans="2:2" ht="16.5">
      <c r="B216" s="12"/>
    </row>
    <row r="217" spans="2:2" ht="16.5">
      <c r="B217" s="12"/>
    </row>
    <row r="218" spans="2:2" ht="16.5">
      <c r="B218" s="12"/>
    </row>
    <row r="219" spans="2:2" ht="16.5">
      <c r="B219" s="12"/>
    </row>
    <row r="220" spans="2:2" ht="16.5">
      <c r="B220" s="12"/>
    </row>
    <row r="221" spans="2:2" ht="16.5">
      <c r="B221" s="12"/>
    </row>
    <row r="222" spans="2:2" ht="16.5">
      <c r="B222" s="12"/>
    </row>
    <row r="223" spans="2:2" ht="16.5">
      <c r="B223" s="12"/>
    </row>
    <row r="224" spans="2:2" ht="16.5">
      <c r="B224" s="12"/>
    </row>
    <row r="225" spans="2:2" ht="16.5">
      <c r="B225" s="12"/>
    </row>
    <row r="226" spans="2:2" ht="16.5">
      <c r="B226" s="12"/>
    </row>
    <row r="227" spans="2:2" ht="16.5">
      <c r="B227" s="12"/>
    </row>
    <row r="228" spans="2:2" ht="16.5">
      <c r="B228" s="12"/>
    </row>
    <row r="229" spans="2:2" ht="16.5">
      <c r="B229" s="12"/>
    </row>
    <row r="230" spans="2:2" ht="16.5">
      <c r="B230" s="12"/>
    </row>
    <row r="231" spans="2:2" ht="16.5">
      <c r="B231" s="12"/>
    </row>
    <row r="232" spans="2:2" ht="16.5">
      <c r="B232" s="12"/>
    </row>
    <row r="233" spans="2:2" ht="16.5">
      <c r="B233" s="12"/>
    </row>
    <row r="234" spans="2:2" ht="16.5">
      <c r="B234" s="12"/>
    </row>
    <row r="235" spans="2:2" ht="16.5">
      <c r="B235" s="12"/>
    </row>
    <row r="236" spans="2:2" ht="16.5">
      <c r="B236" s="12"/>
    </row>
    <row r="237" spans="2:2" ht="16.5">
      <c r="B237" s="12"/>
    </row>
    <row r="238" spans="2:2" ht="16.5">
      <c r="B238" s="12"/>
    </row>
    <row r="239" spans="2:2" ht="16.5">
      <c r="B239" s="12"/>
    </row>
    <row r="240" spans="2:2" ht="16.5">
      <c r="B240" s="12"/>
    </row>
    <row r="241" spans="2:2" ht="16.5">
      <c r="B241" s="12"/>
    </row>
    <row r="242" spans="2:2" ht="16.5">
      <c r="B242" s="12"/>
    </row>
    <row r="243" spans="2:2" ht="16.5">
      <c r="B243" s="12"/>
    </row>
    <row r="244" spans="2:2" ht="16.5">
      <c r="B244" s="12"/>
    </row>
    <row r="245" spans="2:2" ht="16.5">
      <c r="B245" s="12"/>
    </row>
    <row r="246" spans="2:2" ht="16.5">
      <c r="B246" s="12"/>
    </row>
    <row r="247" spans="2:2" ht="16.5">
      <c r="B247" s="12"/>
    </row>
    <row r="248" spans="2:2" ht="16.5">
      <c r="B248" s="12"/>
    </row>
    <row r="249" spans="2:2" ht="16.5">
      <c r="B249" s="12"/>
    </row>
    <row r="250" spans="2:2" ht="16.5">
      <c r="B250" s="12"/>
    </row>
    <row r="251" spans="2:2" ht="16.5">
      <c r="B251" s="12"/>
    </row>
    <row r="252" spans="2:2" ht="16.5">
      <c r="B252" s="12"/>
    </row>
    <row r="253" spans="2:2" ht="16.5">
      <c r="B253" s="12"/>
    </row>
    <row r="254" spans="2:2" ht="16.5">
      <c r="B254" s="12"/>
    </row>
    <row r="255" spans="2:2" ht="16.5">
      <c r="B255" s="12"/>
    </row>
    <row r="256" spans="2:2" ht="16.5">
      <c r="B256" s="12"/>
    </row>
    <row r="257" spans="2:2" ht="16.5">
      <c r="B257" s="12"/>
    </row>
    <row r="258" spans="2:2" ht="16.5">
      <c r="B258" s="12"/>
    </row>
    <row r="259" spans="2:2" ht="16.5">
      <c r="B259" s="12"/>
    </row>
    <row r="260" spans="2:2" ht="16.5">
      <c r="B260" s="12"/>
    </row>
    <row r="261" spans="2:2" ht="16.5">
      <c r="B261" s="12"/>
    </row>
    <row r="262" spans="2:2" ht="16.5">
      <c r="B262" s="12"/>
    </row>
    <row r="263" spans="2:2" ht="16.5">
      <c r="B263" s="12"/>
    </row>
    <row r="264" spans="2:2" ht="16.5">
      <c r="B264" s="12"/>
    </row>
    <row r="265" spans="2:2" ht="16.5">
      <c r="B265" s="12"/>
    </row>
    <row r="266" spans="2:2" ht="16.5">
      <c r="B266" s="12"/>
    </row>
    <row r="267" spans="2:2" ht="16.5">
      <c r="B267" s="12"/>
    </row>
    <row r="268" spans="2:2" ht="16.5">
      <c r="B268" s="12"/>
    </row>
    <row r="269" spans="2:2" ht="16.5">
      <c r="B269" s="12"/>
    </row>
    <row r="270" spans="2:2" ht="16.5">
      <c r="B270" s="12"/>
    </row>
    <row r="271" spans="2:2" ht="16.5">
      <c r="B271" s="12"/>
    </row>
    <row r="272" spans="2:2" ht="16.5">
      <c r="B272" s="12"/>
    </row>
    <row r="273" spans="2:2" ht="16.5">
      <c r="B273" s="12"/>
    </row>
    <row r="274" spans="2:2" ht="16.5">
      <c r="B274" s="12"/>
    </row>
    <row r="275" spans="2:2" ht="16.5">
      <c r="B275" s="12"/>
    </row>
    <row r="276" spans="2:2" ht="16.5">
      <c r="B276" s="12"/>
    </row>
    <row r="277" spans="2:2" ht="16.5">
      <c r="B277" s="12"/>
    </row>
    <row r="278" spans="2:2" ht="16.5">
      <c r="B278" s="12"/>
    </row>
    <row r="279" spans="2:2" ht="16.5">
      <c r="B279" s="12"/>
    </row>
    <row r="280" spans="2:2" ht="16.5">
      <c r="B280" s="12"/>
    </row>
    <row r="281" spans="2:2" ht="16.5">
      <c r="B281" s="12"/>
    </row>
    <row r="282" spans="2:2" ht="16.5">
      <c r="B282" s="12"/>
    </row>
    <row r="283" spans="2:2" ht="16.5">
      <c r="B283" s="12"/>
    </row>
    <row r="284" spans="2:2" ht="16.5">
      <c r="B284" s="12"/>
    </row>
    <row r="285" spans="2:2" ht="16.5">
      <c r="B285" s="12"/>
    </row>
    <row r="286" spans="2:2" ht="16.5">
      <c r="B286" s="12"/>
    </row>
    <row r="287" spans="2:2" ht="16.5">
      <c r="B287" s="12"/>
    </row>
    <row r="288" spans="2:2" ht="16.5">
      <c r="B288" s="12"/>
    </row>
    <row r="289" spans="2:2" ht="16.5">
      <c r="B289" s="12"/>
    </row>
    <row r="290" spans="2:2" ht="16.5">
      <c r="B290" s="12"/>
    </row>
    <row r="291" spans="2:2" ht="16.5">
      <c r="B291" s="12"/>
    </row>
    <row r="292" spans="2:2" ht="16.5">
      <c r="B292" s="12"/>
    </row>
    <row r="293" spans="2:2" ht="16.5">
      <c r="B293" s="12"/>
    </row>
    <row r="294" spans="2:2" ht="16.5">
      <c r="B294" s="12"/>
    </row>
    <row r="295" spans="2:2" ht="16.5">
      <c r="B295" s="12"/>
    </row>
    <row r="296" spans="2:2" ht="16.5">
      <c r="B296" s="12"/>
    </row>
    <row r="297" spans="2:2" ht="16.5">
      <c r="B297" s="12"/>
    </row>
    <row r="298" spans="2:2" ht="16.5">
      <c r="B298" s="12"/>
    </row>
    <row r="299" spans="2:2" ht="16.5">
      <c r="B299" s="12"/>
    </row>
    <row r="300" spans="2:2" ht="16.5">
      <c r="B300" s="12"/>
    </row>
    <row r="301" spans="2:2" ht="16.5">
      <c r="B301" s="12"/>
    </row>
    <row r="302" spans="2:2" ht="16.5">
      <c r="B302" s="12"/>
    </row>
    <row r="303" spans="2:2" ht="16.5">
      <c r="B303" s="12"/>
    </row>
    <row r="304" spans="2:2" ht="16.5">
      <c r="B304" s="12"/>
    </row>
    <row r="305" spans="2:2" ht="16.5">
      <c r="B305" s="12"/>
    </row>
    <row r="306" spans="2:2" ht="16.5">
      <c r="B306" s="12"/>
    </row>
    <row r="307" spans="2:2" ht="16.5">
      <c r="B307" s="12"/>
    </row>
    <row r="308" spans="2:2" ht="16.5">
      <c r="B308" s="12"/>
    </row>
    <row r="309" spans="2:2" ht="16.5">
      <c r="B309" s="12"/>
    </row>
    <row r="310" spans="2:2" ht="16.5">
      <c r="B310" s="12"/>
    </row>
    <row r="311" spans="2:2" ht="16.5">
      <c r="B311" s="12"/>
    </row>
    <row r="312" spans="2:2" ht="16.5">
      <c r="B312" s="12"/>
    </row>
    <row r="313" spans="2:2" ht="16.5">
      <c r="B313" s="12"/>
    </row>
    <row r="314" spans="2:2" ht="16.5">
      <c r="B314" s="12"/>
    </row>
    <row r="315" spans="2:2" ht="16.5">
      <c r="B315" s="12"/>
    </row>
    <row r="316" spans="2:2" ht="16.5">
      <c r="B316" s="12"/>
    </row>
    <row r="317" spans="2:2" ht="16.5">
      <c r="B317" s="12"/>
    </row>
    <row r="318" spans="2:2" ht="16.5">
      <c r="B318" s="12"/>
    </row>
    <row r="319" spans="2:2" ht="16.5">
      <c r="B319" s="12"/>
    </row>
    <row r="320" spans="2:2" ht="16.5">
      <c r="B320" s="12"/>
    </row>
    <row r="321" spans="2:2" ht="16.5">
      <c r="B321" s="12"/>
    </row>
    <row r="322" spans="2:2" ht="16.5">
      <c r="B322" s="12"/>
    </row>
    <row r="323" spans="2:2" ht="16.5">
      <c r="B323" s="12"/>
    </row>
    <row r="324" spans="2:2" ht="16.5">
      <c r="B324" s="12"/>
    </row>
    <row r="325" spans="2:2" ht="16.5">
      <c r="B325" s="12"/>
    </row>
    <row r="326" spans="2:2" ht="16.5">
      <c r="B326" s="12"/>
    </row>
    <row r="327" spans="2:2" ht="16.5">
      <c r="B327" s="12"/>
    </row>
    <row r="328" spans="2:2" ht="16.5">
      <c r="B328" s="12"/>
    </row>
    <row r="329" spans="2:2" ht="16.5">
      <c r="B329" s="12"/>
    </row>
    <row r="330" spans="2:2" ht="16.5">
      <c r="B330" s="12"/>
    </row>
    <row r="331" spans="2:2" ht="16.5">
      <c r="B331" s="12"/>
    </row>
    <row r="332" spans="2:2" ht="16.5">
      <c r="B332" s="12"/>
    </row>
    <row r="333" spans="2:2" ht="16.5">
      <c r="B333" s="12"/>
    </row>
    <row r="334" spans="2:2" ht="16.5">
      <c r="B334" s="12"/>
    </row>
    <row r="335" spans="2:2" ht="16.5">
      <c r="B335" s="12"/>
    </row>
    <row r="336" spans="2:2" ht="16.5">
      <c r="B336" s="12"/>
    </row>
    <row r="337" spans="2:2" ht="16.5">
      <c r="B337" s="12"/>
    </row>
    <row r="338" spans="2:2" ht="16.5">
      <c r="B338" s="12"/>
    </row>
    <row r="339" spans="2:2" ht="16.5">
      <c r="B339" s="12"/>
    </row>
    <row r="340" spans="2:2" ht="16.5">
      <c r="B340" s="12"/>
    </row>
    <row r="341" spans="2:2" ht="16.5">
      <c r="B341" s="12"/>
    </row>
    <row r="342" spans="2:2" ht="16.5">
      <c r="B342" s="12"/>
    </row>
    <row r="343" spans="2:2" ht="16.5">
      <c r="B343" s="12"/>
    </row>
    <row r="344" spans="2:2" ht="16.5">
      <c r="B344" s="12"/>
    </row>
    <row r="345" spans="2:2" ht="16.5">
      <c r="B345" s="12"/>
    </row>
    <row r="346" spans="2:2" ht="16.5">
      <c r="B346" s="12"/>
    </row>
    <row r="347" spans="2:2" ht="16.5">
      <c r="B347" s="12"/>
    </row>
    <row r="348" spans="2:2" ht="16.5">
      <c r="B348" s="12"/>
    </row>
    <row r="349" spans="2:2" ht="16.5">
      <c r="B349" s="12"/>
    </row>
    <row r="350" spans="2:2" ht="16.5">
      <c r="B350" s="12"/>
    </row>
    <row r="351" spans="2:2" ht="16.5">
      <c r="B351" s="12"/>
    </row>
    <row r="352" spans="2:2" ht="16.5">
      <c r="B352" s="12"/>
    </row>
    <row r="353" spans="2:2" ht="16.5">
      <c r="B353" s="12"/>
    </row>
    <row r="354" spans="2:2" ht="16.5">
      <c r="B354" s="12"/>
    </row>
    <row r="355" spans="2:2" ht="16.5">
      <c r="B355" s="12"/>
    </row>
    <row r="356" spans="2:2" ht="16.5">
      <c r="B356" s="12"/>
    </row>
    <row r="357" spans="2:2" ht="16.5">
      <c r="B357" s="12"/>
    </row>
    <row r="358" spans="2:2" ht="16.5">
      <c r="B358" s="12"/>
    </row>
    <row r="359" spans="2:2" ht="16.5">
      <c r="B359" s="12"/>
    </row>
    <row r="360" spans="2:2" ht="16.5">
      <c r="B360" s="12"/>
    </row>
    <row r="361" spans="2:2" ht="16.5">
      <c r="B361" s="12"/>
    </row>
    <row r="362" spans="2:2" ht="16.5">
      <c r="B362" s="12"/>
    </row>
    <row r="363" spans="2:2" ht="16.5">
      <c r="B363" s="12"/>
    </row>
    <row r="364" spans="2:2" ht="16.5">
      <c r="B364" s="12"/>
    </row>
    <row r="365" spans="2:2" ht="16.5">
      <c r="B365" s="12"/>
    </row>
    <row r="366" spans="2:2" ht="16.5">
      <c r="B366" s="12"/>
    </row>
    <row r="367" spans="2:2" ht="16.5">
      <c r="B367" s="12"/>
    </row>
    <row r="368" spans="2:2" ht="16.5">
      <c r="B368" s="12"/>
    </row>
    <row r="369" spans="2:2" ht="16.5">
      <c r="B369" s="12"/>
    </row>
    <row r="370" spans="2:2" ht="16.5">
      <c r="B370" s="12"/>
    </row>
    <row r="371" spans="2:2" ht="16.5">
      <c r="B371" s="12"/>
    </row>
    <row r="372" spans="2:2" ht="16.5">
      <c r="B372" s="12"/>
    </row>
    <row r="373" spans="2:2" ht="16.5">
      <c r="B373" s="12"/>
    </row>
    <row r="374" spans="2:2" ht="16.5">
      <c r="B374" s="12"/>
    </row>
    <row r="375" spans="2:2" ht="16.5">
      <c r="B375" s="12"/>
    </row>
    <row r="376" spans="2:2" ht="16.5">
      <c r="B376" s="12"/>
    </row>
    <row r="377" spans="2:2" ht="16.5">
      <c r="B377" s="12"/>
    </row>
    <row r="378" spans="2:2" ht="16.5">
      <c r="B378" s="12"/>
    </row>
    <row r="379" spans="2:2" ht="16.5">
      <c r="B379" s="12"/>
    </row>
    <row r="380" spans="2:2" ht="16.5">
      <c r="B380" s="12"/>
    </row>
    <row r="381" spans="2:2" ht="16.5">
      <c r="B381" s="12"/>
    </row>
    <row r="382" spans="2:2" ht="16.5">
      <c r="B382" s="12"/>
    </row>
    <row r="383" spans="2:2" ht="16.5">
      <c r="B383" s="12"/>
    </row>
    <row r="384" spans="2:2" ht="16.5">
      <c r="B384" s="12"/>
    </row>
    <row r="385" spans="2:2" ht="16.5">
      <c r="B385" s="12"/>
    </row>
    <row r="386" spans="2:2" ht="16.5">
      <c r="B386" s="12"/>
    </row>
    <row r="387" spans="2:2" ht="16.5">
      <c r="B387" s="12"/>
    </row>
    <row r="388" spans="2:2" ht="16.5">
      <c r="B388" s="12"/>
    </row>
    <row r="389" spans="2:2" ht="16.5">
      <c r="B389" s="12"/>
    </row>
    <row r="390" spans="2:2" ht="16.5">
      <c r="B390" s="12"/>
    </row>
    <row r="391" spans="2:2" ht="16.5">
      <c r="B391" s="12"/>
    </row>
    <row r="392" spans="2:2" ht="16.5">
      <c r="B392" s="12"/>
    </row>
    <row r="393" spans="2:2" ht="16.5">
      <c r="B393" s="12"/>
    </row>
    <row r="394" spans="2:2" ht="16.5">
      <c r="B394" s="12"/>
    </row>
    <row r="395" spans="2:2" ht="16.5">
      <c r="B395" s="12"/>
    </row>
    <row r="396" spans="2:2" ht="16.5">
      <c r="B396" s="12"/>
    </row>
    <row r="397" spans="2:2" ht="16.5">
      <c r="B397" s="12"/>
    </row>
    <row r="398" spans="2:2" ht="16.5">
      <c r="B398" s="12"/>
    </row>
    <row r="399" spans="2:2" ht="16.5">
      <c r="B399" s="12"/>
    </row>
    <row r="400" spans="2:2" ht="16.5">
      <c r="B400" s="12"/>
    </row>
    <row r="401" spans="2:2" ht="16.5">
      <c r="B401" s="12"/>
    </row>
    <row r="402" spans="2:2" ht="16.5">
      <c r="B402" s="12"/>
    </row>
    <row r="403" spans="2:2" ht="16.5">
      <c r="B403" s="12"/>
    </row>
    <row r="404" spans="2:2" ht="16.5">
      <c r="B404" s="12"/>
    </row>
    <row r="405" spans="2:2" ht="16.5">
      <c r="B405" s="12"/>
    </row>
    <row r="406" spans="2:2" ht="16.5">
      <c r="B406" s="12"/>
    </row>
    <row r="407" spans="2:2" ht="16.5">
      <c r="B407" s="12"/>
    </row>
    <row r="408" spans="2:2" ht="16.5">
      <c r="B408" s="12"/>
    </row>
    <row r="409" spans="2:2" ht="16.5">
      <c r="B409" s="12"/>
    </row>
    <row r="410" spans="2:2" ht="16.5">
      <c r="B410" s="12"/>
    </row>
    <row r="411" spans="2:2" ht="16.5">
      <c r="B411" s="12"/>
    </row>
    <row r="412" spans="2:2" ht="16.5">
      <c r="B412" s="12"/>
    </row>
    <row r="413" spans="2:2" ht="16.5">
      <c r="B413" s="12"/>
    </row>
    <row r="414" spans="2:2" ht="16.5">
      <c r="B414" s="12"/>
    </row>
    <row r="415" spans="2:2" ht="16.5">
      <c r="B415" s="12"/>
    </row>
    <row r="416" spans="2:2" ht="16.5">
      <c r="B416" s="12"/>
    </row>
    <row r="417" spans="2:2" ht="16.5">
      <c r="B417" s="12"/>
    </row>
    <row r="418" spans="2:2" ht="16.5">
      <c r="B418" s="12"/>
    </row>
    <row r="419" spans="2:2" ht="16.5">
      <c r="B419" s="12"/>
    </row>
    <row r="420" spans="2:2" ht="16.5">
      <c r="B420" s="12"/>
    </row>
    <row r="421" spans="2:2" ht="16.5">
      <c r="B421" s="12"/>
    </row>
    <row r="422" spans="2:2" ht="16.5">
      <c r="B422" s="12"/>
    </row>
    <row r="423" spans="2:2" ht="16.5">
      <c r="B423" s="12"/>
    </row>
    <row r="424" spans="2:2" ht="16.5">
      <c r="B424" s="12"/>
    </row>
    <row r="425" spans="2:2" ht="16.5">
      <c r="B425" s="12"/>
    </row>
    <row r="426" spans="2:2" ht="16.5">
      <c r="B426" s="12"/>
    </row>
    <row r="427" spans="2:2" ht="16.5">
      <c r="B427" s="12"/>
    </row>
    <row r="428" spans="2:2" ht="16.5">
      <c r="B428" s="12"/>
    </row>
    <row r="429" spans="2:2" ht="16.5">
      <c r="B429" s="12"/>
    </row>
    <row r="430" spans="2:2" ht="16.5">
      <c r="B430" s="12"/>
    </row>
    <row r="431" spans="2:2" ht="16.5">
      <c r="B431" s="12"/>
    </row>
    <row r="432" spans="2:2" ht="16.5">
      <c r="B432" s="12"/>
    </row>
    <row r="433" spans="2:2" ht="16.5">
      <c r="B433" s="12"/>
    </row>
    <row r="434" spans="2:2" ht="16.5">
      <c r="B434" s="12"/>
    </row>
    <row r="435" spans="2:2" ht="16.5">
      <c r="B435" s="12"/>
    </row>
    <row r="436" spans="2:2" ht="16.5">
      <c r="B436" s="12"/>
    </row>
    <row r="437" spans="2:2" ht="16.5">
      <c r="B437" s="12"/>
    </row>
    <row r="438" spans="2:2" ht="16.5">
      <c r="B438" s="12"/>
    </row>
    <row r="439" spans="2:2" ht="16.5">
      <c r="B439" s="12"/>
    </row>
    <row r="440" spans="2:2" ht="16.5">
      <c r="B440" s="12"/>
    </row>
    <row r="441" spans="2:2" ht="16.5">
      <c r="B441" s="12"/>
    </row>
    <row r="442" spans="2:2" ht="16.5">
      <c r="B442" s="12"/>
    </row>
    <row r="443" spans="2:2" ht="16.5">
      <c r="B443" s="12"/>
    </row>
    <row r="444" spans="2:2" ht="16.5">
      <c r="B444" s="12"/>
    </row>
    <row r="445" spans="2:2" ht="16.5">
      <c r="B445" s="12"/>
    </row>
    <row r="446" spans="2:2" ht="16.5">
      <c r="B446" s="12"/>
    </row>
    <row r="447" spans="2:2" ht="16.5">
      <c r="B447" s="12"/>
    </row>
    <row r="448" spans="2:2" ht="16.5">
      <c r="B448" s="12"/>
    </row>
    <row r="449" spans="2:2" ht="16.5">
      <c r="B449" s="12"/>
    </row>
    <row r="450" spans="2:2" ht="16.5">
      <c r="B450" s="12"/>
    </row>
    <row r="451" spans="2:2" ht="16.5">
      <c r="B451" s="12"/>
    </row>
    <row r="452" spans="2:2" ht="16.5">
      <c r="B452" s="12"/>
    </row>
    <row r="453" spans="2:2" ht="16.5">
      <c r="B453" s="12"/>
    </row>
    <row r="454" spans="2:2" ht="16.5">
      <c r="B454" s="12"/>
    </row>
    <row r="455" spans="2:2" ht="16.5">
      <c r="B455" s="12"/>
    </row>
    <row r="456" spans="2:2" ht="16.5">
      <c r="B456" s="12"/>
    </row>
    <row r="457" spans="2:2" ht="16.5">
      <c r="B457" s="12"/>
    </row>
    <row r="458" spans="2:2" ht="16.5">
      <c r="B458" s="12"/>
    </row>
    <row r="459" spans="2:2" ht="16.5">
      <c r="B459" s="12"/>
    </row>
    <row r="460" spans="2:2" ht="16.5">
      <c r="B460" s="12"/>
    </row>
    <row r="461" spans="2:2" ht="16.5">
      <c r="B461" s="12"/>
    </row>
    <row r="462" spans="2:2" ht="16.5">
      <c r="B462" s="12"/>
    </row>
    <row r="463" spans="2:2" ht="16.5">
      <c r="B463" s="12"/>
    </row>
    <row r="464" spans="2:2" ht="16.5">
      <c r="B464" s="12"/>
    </row>
    <row r="465" spans="2:2" ht="16.5">
      <c r="B465" s="12"/>
    </row>
    <row r="466" spans="2:2" ht="16.5">
      <c r="B466" s="12"/>
    </row>
    <row r="467" spans="2:2" ht="16.5">
      <c r="B467" s="12"/>
    </row>
    <row r="468" spans="2:2" ht="16.5">
      <c r="B468" s="12"/>
    </row>
    <row r="469" spans="2:2" ht="16.5">
      <c r="B469" s="12"/>
    </row>
    <row r="470" spans="2:2" ht="16.5">
      <c r="B470" s="12"/>
    </row>
    <row r="471" spans="2:2" ht="16.5">
      <c r="B471" s="12"/>
    </row>
    <row r="472" spans="2:2" ht="16.5">
      <c r="B472" s="12"/>
    </row>
    <row r="473" spans="2:2" ht="16.5">
      <c r="B473" s="12"/>
    </row>
    <row r="474" spans="2:2" ht="16.5">
      <c r="B474" s="12"/>
    </row>
    <row r="475" spans="2:2" ht="16.5">
      <c r="B475" s="12"/>
    </row>
    <row r="476" spans="2:2" ht="16.5">
      <c r="B476" s="12"/>
    </row>
    <row r="477" spans="2:2" ht="16.5">
      <c r="B477" s="12"/>
    </row>
    <row r="478" spans="2:2" ht="16.5">
      <c r="B478" s="12"/>
    </row>
    <row r="479" spans="2:2" ht="16.5">
      <c r="B479" s="12"/>
    </row>
    <row r="480" spans="2:2" ht="16.5">
      <c r="B480" s="12"/>
    </row>
    <row r="481" spans="2:2" ht="16.5">
      <c r="B481" s="12"/>
    </row>
    <row r="482" spans="2:2" ht="16.5">
      <c r="B482" s="12"/>
    </row>
    <row r="483" spans="2:2" ht="16.5">
      <c r="B483" s="12"/>
    </row>
    <row r="484" spans="2:2" ht="16.5">
      <c r="B484" s="12"/>
    </row>
    <row r="485" spans="2:2" ht="16.5">
      <c r="B485" s="12"/>
    </row>
    <row r="486" spans="2:2" ht="16.5">
      <c r="B486" s="12"/>
    </row>
    <row r="487" spans="2:2" ht="16.5">
      <c r="B487" s="12"/>
    </row>
    <row r="488" spans="2:2" ht="16.5">
      <c r="B488" s="12"/>
    </row>
    <row r="489" spans="2:2" ht="16.5">
      <c r="B489" s="12"/>
    </row>
    <row r="490" spans="2:2" ht="16.5">
      <c r="B490" s="12"/>
    </row>
    <row r="491" spans="2:2" ht="16.5">
      <c r="B491" s="12"/>
    </row>
    <row r="492" spans="2:2" ht="16.5">
      <c r="B492" s="12"/>
    </row>
    <row r="493" spans="2:2" ht="16.5">
      <c r="B493" s="12"/>
    </row>
    <row r="494" spans="2:2" ht="16.5">
      <c r="B494" s="12"/>
    </row>
    <row r="495" spans="2:2" ht="16.5">
      <c r="B495" s="12"/>
    </row>
    <row r="496" spans="2:2" ht="16.5">
      <c r="B496" s="12"/>
    </row>
    <row r="497" spans="2:2" ht="16.5">
      <c r="B497" s="12"/>
    </row>
    <row r="498" spans="2:2" ht="16.5">
      <c r="B498" s="12"/>
    </row>
    <row r="499" spans="2:2" ht="16.5">
      <c r="B499" s="12"/>
    </row>
    <row r="500" spans="2:2" ht="16.5">
      <c r="B500" s="12"/>
    </row>
    <row r="501" spans="2:2" ht="16.5">
      <c r="B501" s="12"/>
    </row>
    <row r="502" spans="2:2" ht="16.5">
      <c r="B502" s="12"/>
    </row>
    <row r="503" spans="2:2" ht="16.5">
      <c r="B503" s="12"/>
    </row>
    <row r="504" spans="2:2" ht="16.5">
      <c r="B504" s="12"/>
    </row>
    <row r="505" spans="2:2" ht="16.5">
      <c r="B505" s="12"/>
    </row>
    <row r="506" spans="2:2" ht="16.5">
      <c r="B506" s="12"/>
    </row>
    <row r="507" spans="2:2" ht="16.5">
      <c r="B507" s="12"/>
    </row>
    <row r="508" spans="2:2" ht="16.5">
      <c r="B508" s="12"/>
    </row>
    <row r="509" spans="2:2" ht="16.5">
      <c r="B509" s="12"/>
    </row>
    <row r="510" spans="2:2" ht="16.5">
      <c r="B510" s="12"/>
    </row>
    <row r="511" spans="2:2" ht="16.5">
      <c r="B511" s="12"/>
    </row>
    <row r="512" spans="2:2" ht="16.5">
      <c r="B512" s="12"/>
    </row>
    <row r="513" spans="2:2" ht="16.5">
      <c r="B513" s="12"/>
    </row>
    <row r="514" spans="2:2" ht="16.5">
      <c r="B514" s="12"/>
    </row>
    <row r="515" spans="2:2" ht="16.5">
      <c r="B515" s="12"/>
    </row>
    <row r="516" spans="2:2" ht="16.5">
      <c r="B516" s="12"/>
    </row>
    <row r="517" spans="2:2" ht="16.5">
      <c r="B517" s="12"/>
    </row>
    <row r="518" spans="2:2" ht="16.5">
      <c r="B518" s="12"/>
    </row>
    <row r="519" spans="2:2" ht="16.5">
      <c r="B519" s="12"/>
    </row>
    <row r="520" spans="2:2" ht="16.5">
      <c r="B520" s="12"/>
    </row>
    <row r="521" spans="2:2" ht="16.5">
      <c r="B521" s="12"/>
    </row>
    <row r="522" spans="2:2" ht="16.5">
      <c r="B522" s="12"/>
    </row>
    <row r="523" spans="2:2" ht="16.5">
      <c r="B523" s="12"/>
    </row>
    <row r="524" spans="2:2" ht="16.5">
      <c r="B524" s="12"/>
    </row>
    <row r="525" spans="2:2" ht="16.5">
      <c r="B525" s="12"/>
    </row>
    <row r="526" spans="2:2" ht="16.5">
      <c r="B526" s="12"/>
    </row>
    <row r="527" spans="2:2" ht="16.5">
      <c r="B527" s="12"/>
    </row>
    <row r="528" spans="2:2" ht="16.5">
      <c r="B528" s="12"/>
    </row>
    <row r="529" spans="2:2" ht="16.5">
      <c r="B529" s="12"/>
    </row>
    <row r="530" spans="2:2" ht="16.5">
      <c r="B530" s="12"/>
    </row>
    <row r="531" spans="2:2" ht="16.5">
      <c r="B531" s="12"/>
    </row>
    <row r="532" spans="2:2" ht="16.5">
      <c r="B532" s="12"/>
    </row>
    <row r="533" spans="2:2" ht="16.5">
      <c r="B533" s="12"/>
    </row>
    <row r="534" spans="2:2" ht="16.5">
      <c r="B534" s="12"/>
    </row>
    <row r="535" spans="2:2" ht="16.5">
      <c r="B535" s="12"/>
    </row>
    <row r="536" spans="2:2" ht="16.5">
      <c r="B536" s="12"/>
    </row>
    <row r="537" spans="2:2" ht="16.5">
      <c r="B537" s="12"/>
    </row>
    <row r="538" spans="2:2" ht="16.5">
      <c r="B538" s="12"/>
    </row>
    <row r="539" spans="2:2" ht="16.5">
      <c r="B539" s="12"/>
    </row>
    <row r="540" spans="2:2" ht="16.5">
      <c r="B540" s="12"/>
    </row>
    <row r="541" spans="2:2" ht="16.5">
      <c r="B541" s="12"/>
    </row>
    <row r="542" spans="2:2" ht="16.5">
      <c r="B542" s="12"/>
    </row>
    <row r="543" spans="2:2" ht="16.5">
      <c r="B543" s="12"/>
    </row>
    <row r="544" spans="2:2" ht="16.5">
      <c r="B544" s="12"/>
    </row>
    <row r="545" spans="2:2" ht="16.5">
      <c r="B545" s="12"/>
    </row>
    <row r="546" spans="2:2" ht="16.5">
      <c r="B546" s="12"/>
    </row>
    <row r="547" spans="2:2" ht="16.5">
      <c r="B547" s="12"/>
    </row>
    <row r="548" spans="2:2" ht="16.5">
      <c r="B548" s="12"/>
    </row>
    <row r="549" spans="2:2" ht="16.5">
      <c r="B549" s="12"/>
    </row>
    <row r="550" spans="2:2" ht="16.5">
      <c r="B550" s="12"/>
    </row>
    <row r="551" spans="2:2" ht="16.5">
      <c r="B551" s="12"/>
    </row>
    <row r="552" spans="2:2" ht="16.5">
      <c r="B552" s="12"/>
    </row>
    <row r="553" spans="2:2" ht="16.5">
      <c r="B553" s="12"/>
    </row>
    <row r="554" spans="2:2" ht="16.5">
      <c r="B554" s="12"/>
    </row>
    <row r="555" spans="2:2" ht="16.5">
      <c r="B555" s="12"/>
    </row>
    <row r="556" spans="2:2" ht="16.5">
      <c r="B556" s="12"/>
    </row>
    <row r="557" spans="2:2" ht="16.5">
      <c r="B557" s="12"/>
    </row>
    <row r="558" spans="2:2" ht="16.5">
      <c r="B558" s="12"/>
    </row>
    <row r="559" spans="2:2" ht="16.5">
      <c r="B559" s="12"/>
    </row>
    <row r="560" spans="2:2" ht="16.5">
      <c r="B560" s="12"/>
    </row>
    <row r="561" spans="2:2" ht="16.5">
      <c r="B561" s="12"/>
    </row>
    <row r="562" spans="2:2" ht="16.5">
      <c r="B562" s="12"/>
    </row>
    <row r="563" spans="2:2" ht="16.5">
      <c r="B563" s="12"/>
    </row>
    <row r="564" spans="2:2" ht="16.5">
      <c r="B564" s="12"/>
    </row>
    <row r="565" spans="2:2" ht="16.5">
      <c r="B565" s="12"/>
    </row>
    <row r="566" spans="2:2" ht="16.5">
      <c r="B566" s="12"/>
    </row>
    <row r="567" spans="2:2" ht="16.5">
      <c r="B567" s="12"/>
    </row>
    <row r="568" spans="2:2" ht="16.5">
      <c r="B568" s="12"/>
    </row>
    <row r="569" spans="2:2" ht="16.5">
      <c r="B569" s="12"/>
    </row>
    <row r="570" spans="2:2" ht="16.5">
      <c r="B570" s="12"/>
    </row>
    <row r="571" spans="2:2" ht="16.5">
      <c r="B571" s="12"/>
    </row>
    <row r="572" spans="2:2" ht="16.5">
      <c r="B572" s="12"/>
    </row>
    <row r="573" spans="2:2" ht="16.5">
      <c r="B573" s="12"/>
    </row>
    <row r="574" spans="2:2" ht="16.5">
      <c r="B574" s="12"/>
    </row>
    <row r="575" spans="2:2" ht="16.5">
      <c r="B575" s="12"/>
    </row>
    <row r="576" spans="2:2" ht="16.5">
      <c r="B576" s="12"/>
    </row>
    <row r="577" spans="2:2" ht="16.5">
      <c r="B577" s="12"/>
    </row>
    <row r="578" spans="2:2" ht="16.5">
      <c r="B578" s="12"/>
    </row>
    <row r="579" spans="2:2" ht="16.5">
      <c r="B579" s="12"/>
    </row>
    <row r="580" spans="2:2" ht="16.5">
      <c r="B580" s="12"/>
    </row>
    <row r="581" spans="2:2" ht="16.5">
      <c r="B581" s="12"/>
    </row>
    <row r="582" spans="2:2" ht="16.5">
      <c r="B582" s="12"/>
    </row>
    <row r="583" spans="2:2" ht="16.5">
      <c r="B583" s="12"/>
    </row>
    <row r="584" spans="2:2" ht="16.5">
      <c r="B584" s="12"/>
    </row>
    <row r="585" spans="2:2" ht="16.5">
      <c r="B585" s="12"/>
    </row>
    <row r="586" spans="2:2" ht="16.5">
      <c r="B586" s="12"/>
    </row>
    <row r="587" spans="2:2" ht="16.5">
      <c r="B587" s="12"/>
    </row>
    <row r="588" spans="2:2" ht="16.5">
      <c r="B588" s="12"/>
    </row>
    <row r="589" spans="2:2" ht="16.5">
      <c r="B589" s="12"/>
    </row>
    <row r="590" spans="2:2" ht="16.5">
      <c r="B590" s="12"/>
    </row>
    <row r="591" spans="2:2" ht="16.5">
      <c r="B591" s="12"/>
    </row>
    <row r="592" spans="2:2" ht="16.5">
      <c r="B592" s="12"/>
    </row>
    <row r="593" spans="2:2" ht="16.5">
      <c r="B593" s="12"/>
    </row>
    <row r="594" spans="2:2" ht="16.5">
      <c r="B594" s="12"/>
    </row>
    <row r="595" spans="2:2" ht="16.5">
      <c r="B595" s="12"/>
    </row>
    <row r="596" spans="2:2" ht="16.5">
      <c r="B596" s="12"/>
    </row>
    <row r="597" spans="2:2" ht="16.5">
      <c r="B597" s="12"/>
    </row>
    <row r="598" spans="2:2" ht="16.5">
      <c r="B598" s="12"/>
    </row>
    <row r="599" spans="2:2" ht="16.5">
      <c r="B599" s="12"/>
    </row>
    <row r="600" spans="2:2" ht="16.5">
      <c r="B600" s="12"/>
    </row>
    <row r="601" spans="2:2" ht="16.5">
      <c r="B601" s="12"/>
    </row>
    <row r="602" spans="2:2" ht="16.5">
      <c r="B602" s="12"/>
    </row>
    <row r="603" spans="2:2" ht="16.5">
      <c r="B603" s="12"/>
    </row>
    <row r="604" spans="2:2" ht="16.5">
      <c r="B604" s="12"/>
    </row>
    <row r="605" spans="2:2" ht="16.5">
      <c r="B605" s="12"/>
    </row>
    <row r="606" spans="2:2" ht="16.5">
      <c r="B606" s="12"/>
    </row>
    <row r="607" spans="2:2" ht="16.5">
      <c r="B607" s="12"/>
    </row>
    <row r="608" spans="2:2" ht="16.5">
      <c r="B608" s="12"/>
    </row>
    <row r="609" spans="2:2" ht="16.5">
      <c r="B609" s="12"/>
    </row>
    <row r="610" spans="2:2" ht="16.5">
      <c r="B610" s="12"/>
    </row>
    <row r="611" spans="2:2" ht="16.5">
      <c r="B611" s="12"/>
    </row>
    <row r="612" spans="2:2" ht="16.5">
      <c r="B612" s="12"/>
    </row>
    <row r="613" spans="2:2" ht="16.5">
      <c r="B613" s="12"/>
    </row>
    <row r="614" spans="2:2" ht="16.5">
      <c r="B614" s="12"/>
    </row>
    <row r="615" spans="2:2" ht="16.5">
      <c r="B615" s="12"/>
    </row>
    <row r="616" spans="2:2" ht="16.5">
      <c r="B616" s="12"/>
    </row>
    <row r="617" spans="2:2" ht="16.5">
      <c r="B617" s="12"/>
    </row>
    <row r="618" spans="2:2" ht="16.5">
      <c r="B618" s="12"/>
    </row>
    <row r="619" spans="2:2" ht="16.5">
      <c r="B619" s="12"/>
    </row>
    <row r="620" spans="2:2" ht="16.5">
      <c r="B620" s="12"/>
    </row>
    <row r="621" spans="2:2" ht="16.5">
      <c r="B621" s="12"/>
    </row>
    <row r="622" spans="2:2" ht="16.5">
      <c r="B622" s="12"/>
    </row>
    <row r="623" spans="2:2" ht="16.5">
      <c r="B623" s="12"/>
    </row>
    <row r="624" spans="2:2" ht="16.5">
      <c r="B624" s="12"/>
    </row>
    <row r="625" spans="2:2" ht="16.5">
      <c r="B625" s="12"/>
    </row>
    <row r="626" spans="2:2" ht="16.5">
      <c r="B626" s="12"/>
    </row>
    <row r="627" spans="2:2" ht="16.5">
      <c r="B627" s="12"/>
    </row>
    <row r="628" spans="2:2" ht="16.5">
      <c r="B628" s="12"/>
    </row>
    <row r="629" spans="2:2" ht="16.5">
      <c r="B629" s="12"/>
    </row>
    <row r="630" spans="2:2" ht="16.5">
      <c r="B630" s="12"/>
    </row>
    <row r="631" spans="2:2" ht="16.5">
      <c r="B631" s="12"/>
    </row>
    <row r="632" spans="2:2" ht="16.5">
      <c r="B632" s="12"/>
    </row>
    <row r="633" spans="2:2" ht="16.5">
      <c r="B633" s="12"/>
    </row>
    <row r="634" spans="2:2" ht="16.5">
      <c r="B634" s="12"/>
    </row>
    <row r="635" spans="2:2" ht="16.5">
      <c r="B635" s="12"/>
    </row>
    <row r="636" spans="2:2" ht="16.5">
      <c r="B636" s="12"/>
    </row>
    <row r="637" spans="2:2" ht="16.5">
      <c r="B637" s="12"/>
    </row>
    <row r="638" spans="2:2" ht="16.5">
      <c r="B638" s="12"/>
    </row>
    <row r="639" spans="2:2" ht="16.5">
      <c r="B639" s="12"/>
    </row>
    <row r="640" spans="2:2" ht="16.5">
      <c r="B640" s="12"/>
    </row>
    <row r="641" spans="2:2" ht="16.5">
      <c r="B641" s="12"/>
    </row>
    <row r="642" spans="2:2" ht="16.5">
      <c r="B642" s="12"/>
    </row>
    <row r="643" spans="2:2" ht="16.5">
      <c r="B643" s="12"/>
    </row>
    <row r="644" spans="2:2" ht="16.5">
      <c r="B644" s="12"/>
    </row>
    <row r="645" spans="2:2" ht="16.5">
      <c r="B645" s="12"/>
    </row>
    <row r="646" spans="2:2" ht="16.5">
      <c r="B646" s="12"/>
    </row>
    <row r="647" spans="2:2" ht="16.5">
      <c r="B647" s="12"/>
    </row>
    <row r="648" spans="2:2" ht="16.5">
      <c r="B648" s="12"/>
    </row>
    <row r="649" spans="2:2" ht="16.5">
      <c r="B649" s="12"/>
    </row>
    <row r="650" spans="2:2" ht="16.5">
      <c r="B650" s="12"/>
    </row>
    <row r="651" spans="2:2" ht="16.5">
      <c r="B651" s="12"/>
    </row>
    <row r="652" spans="2:2" ht="16.5">
      <c r="B652" s="12"/>
    </row>
    <row r="653" spans="2:2" ht="16.5">
      <c r="B653" s="12"/>
    </row>
    <row r="654" spans="2:2" ht="16.5">
      <c r="B654" s="12"/>
    </row>
    <row r="655" spans="2:2" ht="16.5">
      <c r="B655" s="12"/>
    </row>
    <row r="656" spans="2:2" ht="16.5">
      <c r="B656" s="12"/>
    </row>
    <row r="657" spans="2:2" ht="16.5">
      <c r="B657" s="12"/>
    </row>
    <row r="658" spans="2:2" ht="16.5">
      <c r="B658" s="12"/>
    </row>
    <row r="659" spans="2:2" ht="16.5">
      <c r="B659" s="12"/>
    </row>
    <row r="660" spans="2:2" ht="16.5">
      <c r="B660" s="12"/>
    </row>
    <row r="661" spans="2:2" ht="16.5">
      <c r="B661" s="12"/>
    </row>
    <row r="662" spans="2:2" ht="16.5">
      <c r="B662" s="12"/>
    </row>
    <row r="663" spans="2:2" ht="16.5">
      <c r="B663" s="12"/>
    </row>
    <row r="664" spans="2:2" ht="16.5">
      <c r="B664" s="12"/>
    </row>
    <row r="665" spans="2:2" ht="16.5">
      <c r="B665" s="12"/>
    </row>
    <row r="666" spans="2:2" ht="16.5">
      <c r="B666" s="12"/>
    </row>
    <row r="667" spans="2:2" ht="16.5">
      <c r="B667" s="12"/>
    </row>
    <row r="668" spans="2:2" ht="16.5">
      <c r="B668" s="12"/>
    </row>
    <row r="669" spans="2:2" ht="16.5">
      <c r="B669" s="12"/>
    </row>
    <row r="670" spans="2:2" ht="16.5">
      <c r="B670" s="12"/>
    </row>
    <row r="671" spans="2:2" ht="16.5">
      <c r="B671" s="12"/>
    </row>
    <row r="672" spans="2:2" ht="16.5">
      <c r="B672" s="12"/>
    </row>
    <row r="673" spans="2:2" ht="16.5">
      <c r="B673" s="12"/>
    </row>
    <row r="674" spans="2:2" ht="16.5">
      <c r="B674" s="12"/>
    </row>
    <row r="675" spans="2:2" ht="16.5">
      <c r="B675" s="12"/>
    </row>
    <row r="676" spans="2:2" ht="16.5">
      <c r="B676" s="12"/>
    </row>
    <row r="677" spans="2:2" ht="16.5">
      <c r="B677" s="12"/>
    </row>
    <row r="678" spans="2:2" ht="16.5">
      <c r="B678" s="12"/>
    </row>
    <row r="679" spans="2:2" ht="16.5">
      <c r="B679" s="12"/>
    </row>
    <row r="680" spans="2:2" ht="16.5">
      <c r="B680" s="12"/>
    </row>
    <row r="681" spans="2:2" ht="16.5">
      <c r="B681" s="12"/>
    </row>
    <row r="682" spans="2:2" ht="16.5">
      <c r="B682" s="12"/>
    </row>
    <row r="683" spans="2:2" ht="16.5">
      <c r="B683" s="12"/>
    </row>
    <row r="684" spans="2:2" ht="16.5">
      <c r="B684" s="12"/>
    </row>
    <row r="685" spans="2:2" ht="16.5">
      <c r="B685" s="12"/>
    </row>
    <row r="686" spans="2:2" ht="16.5">
      <c r="B686" s="12"/>
    </row>
    <row r="687" spans="2:2" ht="16.5">
      <c r="B687" s="12"/>
    </row>
    <row r="688" spans="2:2" ht="16.5">
      <c r="B688" s="12"/>
    </row>
    <row r="689" spans="2:2" ht="16.5">
      <c r="B689" s="12"/>
    </row>
    <row r="690" spans="2:2" ht="16.5">
      <c r="B690" s="12"/>
    </row>
    <row r="691" spans="2:2" ht="16.5">
      <c r="B691" s="12"/>
    </row>
    <row r="692" spans="2:2" ht="16.5">
      <c r="B692" s="12"/>
    </row>
    <row r="693" spans="2:2" ht="16.5">
      <c r="B693" s="12"/>
    </row>
    <row r="694" spans="2:2" ht="16.5">
      <c r="B694" s="12"/>
    </row>
    <row r="695" spans="2:2" ht="16.5">
      <c r="B695" s="12"/>
    </row>
    <row r="696" spans="2:2" ht="16.5">
      <c r="B696" s="12"/>
    </row>
    <row r="697" spans="2:2" ht="16.5">
      <c r="B697" s="12"/>
    </row>
    <row r="698" spans="2:2" ht="16.5">
      <c r="B698" s="12"/>
    </row>
    <row r="699" spans="2:2" ht="16.5">
      <c r="B699" s="12"/>
    </row>
    <row r="700" spans="2:2" ht="16.5">
      <c r="B700" s="12"/>
    </row>
    <row r="701" spans="2:2" ht="16.5">
      <c r="B701" s="12"/>
    </row>
    <row r="702" spans="2:2" ht="16.5">
      <c r="B702" s="12"/>
    </row>
    <row r="703" spans="2:2" ht="16.5">
      <c r="B703" s="12"/>
    </row>
    <row r="704" spans="2:2" ht="16.5">
      <c r="B704" s="12"/>
    </row>
    <row r="705" spans="2:2" ht="16.5">
      <c r="B705" s="12"/>
    </row>
    <row r="706" spans="2:2" ht="16.5">
      <c r="B706" s="12"/>
    </row>
    <row r="707" spans="2:2" ht="16.5">
      <c r="B707" s="12"/>
    </row>
    <row r="708" spans="2:2" ht="16.5">
      <c r="B708" s="12"/>
    </row>
    <row r="709" spans="2:2" ht="16.5">
      <c r="B709" s="12"/>
    </row>
    <row r="710" spans="2:2" ht="16.5">
      <c r="B710" s="12"/>
    </row>
    <row r="711" spans="2:2" ht="16.5">
      <c r="B711" s="12"/>
    </row>
    <row r="712" spans="2:2" ht="16.5">
      <c r="B712" s="12"/>
    </row>
    <row r="713" spans="2:2" ht="16.5">
      <c r="B713" s="12"/>
    </row>
    <row r="714" spans="2:2" ht="16.5">
      <c r="B714" s="12"/>
    </row>
    <row r="715" spans="2:2" ht="16.5">
      <c r="B715" s="12"/>
    </row>
    <row r="716" spans="2:2" ht="16.5">
      <c r="B716" s="12"/>
    </row>
    <row r="717" spans="2:2" ht="16.5">
      <c r="B717" s="12"/>
    </row>
    <row r="718" spans="2:2" ht="16.5">
      <c r="B718" s="12"/>
    </row>
    <row r="719" spans="2:2" ht="16.5">
      <c r="B719" s="12"/>
    </row>
    <row r="720" spans="2:2" ht="16.5">
      <c r="B720" s="12"/>
    </row>
    <row r="721" spans="2:2" ht="16.5">
      <c r="B721" s="12"/>
    </row>
    <row r="722" spans="2:2" ht="16.5">
      <c r="B722" s="12"/>
    </row>
    <row r="723" spans="2:2" ht="16.5">
      <c r="B723" s="12"/>
    </row>
    <row r="724" spans="2:2" ht="16.5">
      <c r="B724" s="12"/>
    </row>
    <row r="725" spans="2:2" ht="16.5">
      <c r="B725" s="12"/>
    </row>
    <row r="726" spans="2:2" ht="16.5">
      <c r="B726" s="12"/>
    </row>
    <row r="727" spans="2:2" ht="16.5">
      <c r="B727" s="12"/>
    </row>
    <row r="728" spans="2:2" ht="16.5">
      <c r="B728" s="12"/>
    </row>
    <row r="729" spans="2:2" ht="16.5">
      <c r="B729" s="12"/>
    </row>
    <row r="730" spans="2:2" ht="16.5">
      <c r="B730" s="12"/>
    </row>
    <row r="731" spans="2:2" ht="16.5">
      <c r="B731" s="12"/>
    </row>
    <row r="732" spans="2:2" ht="16.5">
      <c r="B732" s="12"/>
    </row>
    <row r="733" spans="2:2" ht="16.5">
      <c r="B733" s="12"/>
    </row>
    <row r="734" spans="2:2" ht="16.5">
      <c r="B734" s="12"/>
    </row>
    <row r="735" spans="2:2" ht="16.5">
      <c r="B735" s="12"/>
    </row>
    <row r="736" spans="2:2" ht="16.5">
      <c r="B736" s="12"/>
    </row>
    <row r="737" spans="2:2" ht="16.5">
      <c r="B737" s="12"/>
    </row>
    <row r="738" spans="2:2" ht="16.5">
      <c r="B738" s="12"/>
    </row>
    <row r="739" spans="2:2" ht="16.5">
      <c r="B739" s="12"/>
    </row>
    <row r="740" spans="2:2" ht="16.5">
      <c r="B740" s="12"/>
    </row>
    <row r="741" spans="2:2" ht="16.5">
      <c r="B741" s="12"/>
    </row>
    <row r="742" spans="2:2" ht="16.5">
      <c r="B742" s="12"/>
    </row>
    <row r="743" spans="2:2" ht="16.5">
      <c r="B743" s="12"/>
    </row>
    <row r="744" spans="2:2" ht="16.5">
      <c r="B744" s="12"/>
    </row>
    <row r="745" spans="2:2" ht="16.5">
      <c r="B745" s="12"/>
    </row>
    <row r="746" spans="2:2" ht="16.5">
      <c r="B746" s="12"/>
    </row>
    <row r="747" spans="2:2" ht="16.5">
      <c r="B747" s="12"/>
    </row>
    <row r="748" spans="2:2" ht="16.5">
      <c r="B748" s="12"/>
    </row>
    <row r="749" spans="2:2" ht="16.5">
      <c r="B749" s="12"/>
    </row>
    <row r="750" spans="2:2" ht="16.5">
      <c r="B750" s="12"/>
    </row>
    <row r="751" spans="2:2" ht="16.5">
      <c r="B751" s="12"/>
    </row>
    <row r="752" spans="2:2" ht="16.5">
      <c r="B752" s="12"/>
    </row>
    <row r="753" spans="2:2" ht="16.5">
      <c r="B753" s="12"/>
    </row>
  </sheetData>
  <mergeCells count="5">
    <mergeCell ref="C1:I2"/>
    <mergeCell ref="D5:I5"/>
    <mergeCell ref="C3:I3"/>
    <mergeCell ref="D7:I7"/>
    <mergeCell ref="D6:I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>
      <selection activeCell="B31" sqref="B31"/>
    </sheetView>
  </sheetViews>
  <sheetFormatPr baseColWidth="10" defaultColWidth="8.81640625" defaultRowHeight="14.5"/>
  <cols>
    <col min="1" max="1" width="117" customWidth="1"/>
    <col min="2" max="2" width="22" customWidth="1"/>
    <col min="3" max="3" width="12" customWidth="1"/>
    <col min="4" max="4" width="18" customWidth="1"/>
    <col min="5" max="8" width="12" customWidth="1"/>
  </cols>
  <sheetData>
    <row r="1" spans="1:8" ht="21">
      <c r="A1" s="240" t="s">
        <v>132</v>
      </c>
      <c r="B1" s="218"/>
      <c r="C1" s="218"/>
      <c r="D1" s="218"/>
      <c r="E1" s="218"/>
      <c r="F1" s="218"/>
      <c r="G1" s="218"/>
      <c r="H1" s="218"/>
    </row>
    <row r="3" spans="1:8">
      <c r="A3" s="244" t="s">
        <v>116</v>
      </c>
      <c r="B3" s="218"/>
      <c r="C3" s="218"/>
      <c r="D3" s="218"/>
      <c r="E3" s="218"/>
      <c r="F3" s="218"/>
      <c r="G3" s="218"/>
      <c r="H3" s="218"/>
    </row>
    <row r="5" spans="1:8" ht="16.5">
      <c r="B5" s="238" t="s">
        <v>117</v>
      </c>
      <c r="C5" s="218"/>
      <c r="D5" s="25" t="s">
        <v>31</v>
      </c>
    </row>
    <row r="7" spans="1:8" ht="16.5">
      <c r="B7" s="224" t="s">
        <v>118</v>
      </c>
      <c r="C7" s="225"/>
      <c r="D7" s="225"/>
      <c r="E7" s="225"/>
      <c r="F7" s="225"/>
      <c r="G7" s="225"/>
    </row>
    <row r="8" spans="1:8" ht="16.5">
      <c r="B8" s="229" t="s">
        <v>119</v>
      </c>
      <c r="C8" s="230"/>
      <c r="D8" s="234" t="str">
        <f>_xlfn.XLOOKUP($D$5, DB_Ventas!$A$4:$A$71, DB_Ventas!$B$4:$B$71, "No encontrado", 0)</f>
        <v>Q1-2025</v>
      </c>
      <c r="E8" s="235"/>
      <c r="F8" s="235"/>
      <c r="G8" s="236"/>
    </row>
    <row r="9" spans="1:8" ht="16.5">
      <c r="B9" s="222" t="s">
        <v>120</v>
      </c>
      <c r="C9" s="223"/>
      <c r="D9" s="231" t="str">
        <f>_xlfn.XLOOKUP($D$5, DB_Ventas!$A$4:$A$71, DB_Ventas!$C$4:$C$71, "No encontrado", 0)</f>
        <v>Orcopampa</v>
      </c>
      <c r="E9" s="232"/>
      <c r="F9" s="232"/>
      <c r="G9" s="233"/>
    </row>
    <row r="10" spans="1:8" ht="16.5">
      <c r="B10" s="229" t="s">
        <v>121</v>
      </c>
      <c r="C10" s="230"/>
      <c r="D10" s="241" t="str">
        <f>_xlfn.XLOOKUP($D$5, DB_Ventas!$A$4:$A$71, DB_Ventas!$D$4:$D$71, "No encontrado", 0)</f>
        <v>Oro</v>
      </c>
      <c r="E10" s="242"/>
      <c r="F10" s="242"/>
      <c r="G10" s="243"/>
    </row>
    <row r="11" spans="1:8" ht="16.5">
      <c r="B11" s="222" t="s">
        <v>122</v>
      </c>
      <c r="C11" s="223"/>
      <c r="D11" s="245">
        <f>_xlfn.XLOOKUP($D$5, DB_Ventas!$A$4:$A$71, DB_Ventas!$E$4:$E$71, 0, 0)</f>
        <v>13500</v>
      </c>
      <c r="E11" s="232"/>
      <c r="F11" s="232"/>
      <c r="G11" s="233"/>
    </row>
    <row r="12" spans="1:8" ht="16.5">
      <c r="B12" s="229" t="s">
        <v>123</v>
      </c>
      <c r="C12" s="230"/>
      <c r="D12" s="234" t="str">
        <f>_xlfn.XLOOKUP($D$5, DB_Ventas!$A$4:$A$71, DB_Ventas!$F$4:$F$71, "N/A", 0)</f>
        <v>oz</v>
      </c>
      <c r="E12" s="235"/>
      <c r="F12" s="235"/>
      <c r="G12" s="236"/>
    </row>
    <row r="13" spans="1:8" ht="16.5">
      <c r="B13" s="222" t="s">
        <v>124</v>
      </c>
      <c r="C13" s="223"/>
      <c r="D13" s="246">
        <f>_xlfn.XLOOKUP($D$5, DB_Ventas!$A$4:$A$71, DB_Ventas!$G$4:$G$71, 0, 0)</f>
        <v>3547</v>
      </c>
      <c r="E13" s="247"/>
      <c r="F13" s="247"/>
      <c r="G13" s="248"/>
    </row>
    <row r="14" spans="1:8" ht="16.5">
      <c r="B14" s="229" t="s">
        <v>125</v>
      </c>
      <c r="C14" s="230"/>
      <c r="D14" s="239">
        <f>_xlfn.XLOOKUP($D$5, DB_Ventas!$A$4:$A$71, DB_Ventas!$H$4:$H$71, 0, 0)</f>
        <v>47884500</v>
      </c>
      <c r="E14" s="235"/>
      <c r="F14" s="235"/>
      <c r="G14" s="236"/>
    </row>
    <row r="15" spans="1:8" ht="16.5">
      <c r="B15" s="222" t="s">
        <v>126</v>
      </c>
      <c r="C15" s="223"/>
      <c r="D15" s="237">
        <f>_xlfn.XLOOKUP($D$5, DB_Ventas!$A$4:$A$71, DB_Ventas!$I$4:$I$71, 0, 0)</f>
        <v>1560</v>
      </c>
      <c r="E15" s="232"/>
      <c r="F15" s="232"/>
      <c r="G15" s="233"/>
    </row>
    <row r="16" spans="1:8" ht="16.5">
      <c r="B16" s="229" t="s">
        <v>127</v>
      </c>
      <c r="C16" s="230"/>
      <c r="D16" s="239">
        <f>_xlfn.XLOOKUP($D$5, DB_Ventas!$A$4:$A$71, DB_Ventas!$J$4:$J$71, 0, 0)</f>
        <v>21060000</v>
      </c>
      <c r="E16" s="235"/>
      <c r="F16" s="235"/>
      <c r="G16" s="236"/>
    </row>
    <row r="17" spans="2:7" ht="16.5">
      <c r="B17" s="222" t="s">
        <v>128</v>
      </c>
      <c r="C17" s="223"/>
      <c r="D17" s="237">
        <f>_xlfn.XLOOKUP($D$5, DB_Ventas!$A$4:$A$71, DB_Ventas!$L$4:$L$71, 0, 0)</f>
        <v>26824500</v>
      </c>
      <c r="E17" s="232"/>
      <c r="F17" s="232"/>
      <c r="G17" s="233"/>
    </row>
    <row r="18" spans="2:7" ht="16.5">
      <c r="B18" s="229" t="s">
        <v>129</v>
      </c>
      <c r="C18" s="230"/>
      <c r="D18" s="226">
        <f>_xlfn.XLOOKUP($D$5, DB_Ventas!$A$4:$A$71, DB_Ventas!$M$4:$M$71, 0, 0)</f>
        <v>0.56019171130532841</v>
      </c>
      <c r="E18" s="227"/>
      <c r="F18" s="227"/>
      <c r="G18" s="228"/>
    </row>
  </sheetData>
  <mergeCells count="26">
    <mergeCell ref="B5:C5"/>
    <mergeCell ref="D16:G16"/>
    <mergeCell ref="A1:H1"/>
    <mergeCell ref="B18:C18"/>
    <mergeCell ref="D14:G14"/>
    <mergeCell ref="B12:C12"/>
    <mergeCell ref="B11:C11"/>
    <mergeCell ref="B14:C14"/>
    <mergeCell ref="B17:C17"/>
    <mergeCell ref="D10:G10"/>
    <mergeCell ref="B8:C8"/>
    <mergeCell ref="B13:C13"/>
    <mergeCell ref="A3:H3"/>
    <mergeCell ref="B10:C10"/>
    <mergeCell ref="D11:G11"/>
    <mergeCell ref="D13:G13"/>
    <mergeCell ref="B9:C9"/>
    <mergeCell ref="B7:G7"/>
    <mergeCell ref="D18:G18"/>
    <mergeCell ref="B16:C16"/>
    <mergeCell ref="D9:G9"/>
    <mergeCell ref="D12:G12"/>
    <mergeCell ref="D8:G8"/>
    <mergeCell ref="D15:G15"/>
    <mergeCell ref="D17:G17"/>
    <mergeCell ref="B15:C15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Inválido" error="Código de transacción no existe en la base de datos" promptTitle="ID Transacción" prompt="Por favor seleccione un ID de transacción de la lista" xr:uid="{00000000-0002-0000-0100-000000000000}">
          <x14:formula1>
            <xm:f>DB_Ventas!$A$4:$A$71</xm:f>
          </x14:formula1>
          <xm:sqref>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I44"/>
  <sheetViews>
    <sheetView showGridLines="0" zoomScale="99" workbookViewId="0">
      <selection activeCell="C6" sqref="C6"/>
    </sheetView>
  </sheetViews>
  <sheetFormatPr baseColWidth="10" defaultColWidth="8.81640625" defaultRowHeight="14.5"/>
  <cols>
    <col min="1" max="1" width="28.36328125" customWidth="1"/>
    <col min="2" max="2" width="20.1796875" customWidth="1"/>
    <col min="3" max="3" width="101" customWidth="1"/>
    <col min="4" max="4" width="18.81640625" customWidth="1"/>
    <col min="5" max="5" width="24" customWidth="1"/>
    <col min="6" max="6" width="25" customWidth="1"/>
    <col min="7" max="7" width="28.36328125" customWidth="1"/>
    <col min="8" max="8" width="24.6328125" customWidth="1"/>
  </cols>
  <sheetData>
    <row r="1" spans="1:7" ht="21">
      <c r="A1" s="240" t="s">
        <v>151</v>
      </c>
      <c r="B1" s="218"/>
      <c r="C1" s="218"/>
      <c r="D1" s="218"/>
      <c r="E1" s="218"/>
      <c r="F1" s="218"/>
      <c r="G1" s="218"/>
    </row>
    <row r="3" spans="1:7" s="28" customFormat="1" ht="16.5">
      <c r="A3" s="249" t="s">
        <v>0</v>
      </c>
      <c r="B3" s="250"/>
      <c r="C3" s="250"/>
      <c r="D3" s="250"/>
    </row>
    <row r="4" spans="1:7" s="28" customFormat="1" ht="16.5">
      <c r="A4" s="64" t="s">
        <v>263</v>
      </c>
      <c r="B4" s="28" t="s">
        <v>183</v>
      </c>
    </row>
    <row r="5" spans="1:7" ht="16.5">
      <c r="A5" s="1" t="s">
        <v>1</v>
      </c>
      <c r="B5" s="5">
        <v>289700000</v>
      </c>
      <c r="C5" s="251" t="s">
        <v>2</v>
      </c>
      <c r="D5" s="218"/>
      <c r="E5" s="218"/>
      <c r="F5" s="218"/>
      <c r="G5" s="218"/>
    </row>
    <row r="7" spans="1:7" s="28" customFormat="1" ht="16.5">
      <c r="A7" s="249" t="s">
        <v>277</v>
      </c>
      <c r="B7" s="250"/>
      <c r="C7" s="250"/>
      <c r="D7" s="250"/>
      <c r="E7" s="250"/>
      <c r="F7" s="250"/>
      <c r="G7" s="250"/>
    </row>
    <row r="8" spans="1:7" ht="17" thickBot="1">
      <c r="A8" s="124" t="s">
        <v>3</v>
      </c>
      <c r="B8" s="44" t="s">
        <v>4</v>
      </c>
      <c r="C8" s="44" t="s">
        <v>5</v>
      </c>
      <c r="D8" s="44" t="s">
        <v>6</v>
      </c>
      <c r="E8" s="44" t="s">
        <v>133</v>
      </c>
      <c r="F8" s="44" t="s">
        <v>7</v>
      </c>
      <c r="G8" s="44" t="s">
        <v>182</v>
      </c>
    </row>
    <row r="9" spans="1:7" ht="16.5">
      <c r="A9" s="122" t="s">
        <v>8</v>
      </c>
      <c r="B9" s="6" t="s">
        <v>9</v>
      </c>
      <c r="C9" s="7">
        <v>3547</v>
      </c>
      <c r="D9" s="4" t="s">
        <v>10</v>
      </c>
      <c r="E9" s="8">
        <v>1560</v>
      </c>
      <c r="F9" s="13" t="str">
        <f t="shared" ref="F9:F25" si="0">A9&amp;"_"&amp;B9</f>
        <v>Orcopampa_Oro</v>
      </c>
      <c r="G9" s="7">
        <v>0.08</v>
      </c>
    </row>
    <row r="10" spans="1:7" ht="16.5">
      <c r="A10" s="123" t="s">
        <v>8</v>
      </c>
      <c r="B10" s="9" t="s">
        <v>11</v>
      </c>
      <c r="C10" s="10">
        <v>41.87</v>
      </c>
      <c r="D10" s="11" t="s">
        <v>10</v>
      </c>
      <c r="E10" s="8">
        <v>25</v>
      </c>
      <c r="F10" s="26" t="str">
        <f t="shared" si="0"/>
        <v>Orcopampa_Plata</v>
      </c>
      <c r="G10" s="10">
        <v>0.01</v>
      </c>
    </row>
    <row r="11" spans="1:7" ht="16.5">
      <c r="A11" s="122" t="s">
        <v>12</v>
      </c>
      <c r="B11" s="6" t="s">
        <v>9</v>
      </c>
      <c r="C11" s="7">
        <v>3547</v>
      </c>
      <c r="D11" s="4" t="s">
        <v>10</v>
      </c>
      <c r="E11" s="8">
        <v>2678</v>
      </c>
      <c r="F11" s="13" t="str">
        <f t="shared" si="0"/>
        <v>Tambomayo_Oro</v>
      </c>
      <c r="G11" s="7">
        <v>0.1</v>
      </c>
    </row>
    <row r="12" spans="1:7" ht="16.5">
      <c r="A12" s="123" t="s">
        <v>12</v>
      </c>
      <c r="B12" s="9" t="s">
        <v>11</v>
      </c>
      <c r="C12" s="10">
        <v>41.87</v>
      </c>
      <c r="D12" s="11" t="s">
        <v>10</v>
      </c>
      <c r="E12" s="8">
        <v>27.33</v>
      </c>
      <c r="F12" s="26" t="str">
        <f t="shared" si="0"/>
        <v>Tambomayo_Plata</v>
      </c>
      <c r="G12" s="10">
        <v>0.04</v>
      </c>
    </row>
    <row r="13" spans="1:7" ht="16.5">
      <c r="A13" s="122" t="s">
        <v>12</v>
      </c>
      <c r="B13" s="6" t="s">
        <v>13</v>
      </c>
      <c r="C13" s="7">
        <v>1912</v>
      </c>
      <c r="D13" s="4" t="s">
        <v>14</v>
      </c>
      <c r="E13" s="8">
        <v>1250</v>
      </c>
      <c r="F13" s="13" t="str">
        <f t="shared" si="0"/>
        <v>Tambomayo_Plomo</v>
      </c>
      <c r="G13" s="7">
        <v>0.02</v>
      </c>
    </row>
    <row r="14" spans="1:7" ht="16.5">
      <c r="A14" s="123" t="s">
        <v>12</v>
      </c>
      <c r="B14" s="9" t="s">
        <v>15</v>
      </c>
      <c r="C14" s="10">
        <v>2844</v>
      </c>
      <c r="D14" s="11" t="s">
        <v>14</v>
      </c>
      <c r="E14" s="8">
        <v>1560</v>
      </c>
      <c r="F14" s="26" t="str">
        <f t="shared" si="0"/>
        <v>Tambomayo_Zinc</v>
      </c>
      <c r="G14" s="10">
        <v>0.02</v>
      </c>
    </row>
    <row r="15" spans="1:7" ht="16.5">
      <c r="A15" s="122" t="s">
        <v>16</v>
      </c>
      <c r="B15" s="6" t="s">
        <v>11</v>
      </c>
      <c r="C15" s="7">
        <v>41.87</v>
      </c>
      <c r="D15" s="4" t="s">
        <v>10</v>
      </c>
      <c r="E15" s="8">
        <v>15.21</v>
      </c>
      <c r="F15" s="13" t="str">
        <f t="shared" si="0"/>
        <v>Uchucchacua &amp; Yumpag_Plata</v>
      </c>
      <c r="G15" s="7">
        <v>0.22</v>
      </c>
    </row>
    <row r="16" spans="1:7" ht="16.5">
      <c r="A16" s="123" t="s">
        <v>16</v>
      </c>
      <c r="B16" s="9" t="s">
        <v>13</v>
      </c>
      <c r="C16" s="10">
        <v>1912</v>
      </c>
      <c r="D16" s="11" t="s">
        <v>14</v>
      </c>
      <c r="E16" s="8">
        <v>582</v>
      </c>
      <c r="F16" s="26" t="str">
        <f t="shared" si="0"/>
        <v>Uchucchacua &amp; Yumpag_Plomo</v>
      </c>
      <c r="G16" s="10">
        <v>0.04</v>
      </c>
    </row>
    <row r="17" spans="1:7" ht="16.5">
      <c r="A17" s="122" t="s">
        <v>16</v>
      </c>
      <c r="B17" s="6" t="s">
        <v>15</v>
      </c>
      <c r="C17" s="7">
        <v>2844</v>
      </c>
      <c r="D17" s="4" t="s">
        <v>14</v>
      </c>
      <c r="E17" s="8">
        <v>1126</v>
      </c>
      <c r="F17" s="13" t="str">
        <f t="shared" si="0"/>
        <v>Uchucchacua &amp; Yumpag_Zinc</v>
      </c>
      <c r="G17" s="7">
        <v>0.05</v>
      </c>
    </row>
    <row r="18" spans="1:7" ht="16.5">
      <c r="A18" s="123" t="s">
        <v>17</v>
      </c>
      <c r="B18" s="9" t="s">
        <v>18</v>
      </c>
      <c r="C18" s="10">
        <v>10071</v>
      </c>
      <c r="D18" s="11" t="s">
        <v>14</v>
      </c>
      <c r="E18" s="8">
        <v>6435</v>
      </c>
      <c r="F18" s="26" t="str">
        <f t="shared" si="0"/>
        <v>El Brocal_Cobre</v>
      </c>
      <c r="G18" s="10">
        <v>0.22</v>
      </c>
    </row>
    <row r="19" spans="1:7" ht="16.5">
      <c r="A19" s="122" t="s">
        <v>17</v>
      </c>
      <c r="B19" s="6" t="s">
        <v>11</v>
      </c>
      <c r="C19" s="7">
        <v>41.87</v>
      </c>
      <c r="D19" s="4" t="s">
        <v>10</v>
      </c>
      <c r="E19" s="8">
        <v>19.07</v>
      </c>
      <c r="F19" s="13" t="str">
        <f t="shared" si="0"/>
        <v>El Brocal_Plata</v>
      </c>
      <c r="G19" s="7">
        <v>0.03</v>
      </c>
    </row>
    <row r="20" spans="1:7" ht="16.5">
      <c r="A20" s="123" t="s">
        <v>19</v>
      </c>
      <c r="B20" s="9" t="s">
        <v>11</v>
      </c>
      <c r="C20" s="10">
        <v>41.87</v>
      </c>
      <c r="D20" s="11" t="s">
        <v>10</v>
      </c>
      <c r="E20" s="8">
        <v>26.34</v>
      </c>
      <c r="F20" s="26" t="str">
        <f t="shared" si="0"/>
        <v>Julcani_Plata</v>
      </c>
      <c r="G20" s="10">
        <v>0.02</v>
      </c>
    </row>
    <row r="21" spans="1:7" ht="16.5">
      <c r="A21" s="122" t="s">
        <v>19</v>
      </c>
      <c r="B21" s="6" t="s">
        <v>9</v>
      </c>
      <c r="C21" s="7">
        <v>3547</v>
      </c>
      <c r="D21" s="4" t="s">
        <v>10</v>
      </c>
      <c r="E21" s="8">
        <v>2180</v>
      </c>
      <c r="F21" s="13" t="str">
        <f t="shared" si="0"/>
        <v>Julcani_Oro</v>
      </c>
      <c r="G21" s="7">
        <v>0.02</v>
      </c>
    </row>
    <row r="22" spans="1:7" ht="16.5">
      <c r="A22" s="123" t="s">
        <v>19</v>
      </c>
      <c r="B22" s="9" t="s">
        <v>13</v>
      </c>
      <c r="C22" s="10">
        <v>1912</v>
      </c>
      <c r="D22" s="11" t="s">
        <v>14</v>
      </c>
      <c r="E22" s="8">
        <v>1250</v>
      </c>
      <c r="F22" s="26" t="str">
        <f t="shared" si="0"/>
        <v>Julcani_Plomo</v>
      </c>
      <c r="G22" s="10">
        <v>0.01</v>
      </c>
    </row>
    <row r="23" spans="1:7" ht="16.5">
      <c r="A23" s="122" t="s">
        <v>19</v>
      </c>
      <c r="B23" s="6" t="s">
        <v>18</v>
      </c>
      <c r="C23" s="7">
        <v>10071</v>
      </c>
      <c r="D23" s="4" t="s">
        <v>14</v>
      </c>
      <c r="E23" s="8">
        <v>6501</v>
      </c>
      <c r="F23" s="13" t="str">
        <f t="shared" si="0"/>
        <v>Julcani_Cobre</v>
      </c>
      <c r="G23" s="7">
        <v>0.01</v>
      </c>
    </row>
    <row r="24" spans="1:7" ht="16.5">
      <c r="A24" s="123" t="s">
        <v>20</v>
      </c>
      <c r="B24" s="9" t="s">
        <v>9</v>
      </c>
      <c r="C24" s="10">
        <v>3547</v>
      </c>
      <c r="D24" s="11" t="s">
        <v>10</v>
      </c>
      <c r="E24" s="8">
        <v>1471</v>
      </c>
      <c r="F24" s="26" t="str">
        <f t="shared" si="0"/>
        <v>Coimolache_Oro</v>
      </c>
      <c r="G24" s="10">
        <v>0.08</v>
      </c>
    </row>
    <row r="25" spans="1:7" ht="16.5">
      <c r="A25" s="125" t="s">
        <v>20</v>
      </c>
      <c r="B25" s="126" t="s">
        <v>11</v>
      </c>
      <c r="C25" s="127">
        <v>41.87</v>
      </c>
      <c r="D25" s="128" t="s">
        <v>10</v>
      </c>
      <c r="E25" s="129">
        <v>30.97</v>
      </c>
      <c r="F25" s="130" t="str">
        <f t="shared" si="0"/>
        <v>Coimolache_Plata</v>
      </c>
      <c r="G25" s="127">
        <v>0.03</v>
      </c>
    </row>
    <row r="27" spans="1:7" ht="16.5">
      <c r="A27" s="64" t="s">
        <v>278</v>
      </c>
      <c r="B27" s="28"/>
      <c r="C27" s="28"/>
      <c r="D27" s="28"/>
    </row>
    <row r="28" spans="1:7" ht="17" thickBot="1">
      <c r="A28" s="44" t="s">
        <v>264</v>
      </c>
      <c r="B28" s="44" t="s">
        <v>276</v>
      </c>
      <c r="C28" s="44" t="s">
        <v>265</v>
      </c>
      <c r="D28" s="44" t="s">
        <v>266</v>
      </c>
    </row>
    <row r="29" spans="1:7" ht="39.5">
      <c r="A29" s="118" t="s">
        <v>267</v>
      </c>
      <c r="B29" s="120" t="s">
        <v>268</v>
      </c>
      <c r="C29" s="7">
        <v>51906000</v>
      </c>
      <c r="D29" s="132">
        <f>+C29/$C$33</f>
        <v>0.17917155678287883</v>
      </c>
      <c r="E29" s="68"/>
      <c r="F29" s="65"/>
    </row>
    <row r="30" spans="1:7" ht="39.5">
      <c r="A30" s="118" t="s">
        <v>269</v>
      </c>
      <c r="B30" s="120" t="s">
        <v>270</v>
      </c>
      <c r="C30" s="7">
        <v>87100000</v>
      </c>
      <c r="D30" s="132">
        <f t="shared" ref="D30:D32" si="1">+C30/$C$33</f>
        <v>0.3006558508802209</v>
      </c>
      <c r="E30" s="68"/>
      <c r="F30" s="65"/>
    </row>
    <row r="31" spans="1:7" ht="26.5">
      <c r="A31" s="118" t="s">
        <v>271</v>
      </c>
      <c r="B31" s="120" t="s">
        <v>272</v>
      </c>
      <c r="C31" s="7">
        <v>28694000</v>
      </c>
      <c r="D31" s="132">
        <f t="shared" si="1"/>
        <v>9.9047290300310661E-2</v>
      </c>
      <c r="E31" s="68"/>
      <c r="F31" s="65"/>
    </row>
    <row r="32" spans="1:7" ht="39.5">
      <c r="A32" s="118" t="s">
        <v>273</v>
      </c>
      <c r="B32" s="120" t="s">
        <v>274</v>
      </c>
      <c r="C32" s="7">
        <v>122000000</v>
      </c>
      <c r="D32" s="132">
        <f t="shared" si="1"/>
        <v>0.4211253020365896</v>
      </c>
      <c r="E32" s="68"/>
      <c r="F32" s="65"/>
    </row>
    <row r="33" spans="1:9" ht="17.5">
      <c r="A33" s="121"/>
      <c r="B33" s="121" t="s">
        <v>275</v>
      </c>
      <c r="C33" s="119">
        <f>SUM(C29:C32)</f>
        <v>289700000</v>
      </c>
      <c r="D33" s="131">
        <f>SUM(D29:D32)</f>
        <v>1</v>
      </c>
      <c r="H33" s="68"/>
      <c r="I33" s="65"/>
    </row>
    <row r="34" spans="1:9" ht="17.5">
      <c r="D34" s="66"/>
      <c r="E34" s="67"/>
      <c r="F34" s="67"/>
      <c r="G34" s="67"/>
      <c r="H34" s="68"/>
      <c r="I34" s="65"/>
    </row>
    <row r="35" spans="1:9" ht="17.5">
      <c r="D35" s="66"/>
      <c r="E35" s="67"/>
      <c r="F35" s="67"/>
      <c r="G35" s="67"/>
      <c r="H35" s="68"/>
      <c r="I35" s="65"/>
    </row>
    <row r="36" spans="1:9" ht="17.5">
      <c r="D36" s="66"/>
      <c r="E36" s="67"/>
      <c r="F36" s="67"/>
      <c r="G36" s="67"/>
      <c r="H36" s="68"/>
      <c r="I36" s="65"/>
    </row>
    <row r="37" spans="1:9" ht="17.5">
      <c r="D37" s="66"/>
      <c r="E37" s="67"/>
      <c r="F37" s="67"/>
      <c r="G37" s="67"/>
      <c r="H37" s="68"/>
      <c r="I37" s="65"/>
    </row>
    <row r="38" spans="1:9" ht="17.5">
      <c r="D38" s="66"/>
      <c r="E38" s="67"/>
      <c r="F38" s="67"/>
      <c r="G38" s="67"/>
      <c r="H38" s="68"/>
      <c r="I38" s="65"/>
    </row>
    <row r="39" spans="1:9" ht="17.5">
      <c r="D39" s="66"/>
      <c r="E39" s="67"/>
      <c r="F39" s="67"/>
      <c r="G39" s="67"/>
      <c r="H39" s="68"/>
      <c r="I39" s="65"/>
    </row>
    <row r="40" spans="1:9" ht="17.5">
      <c r="D40" s="66"/>
      <c r="E40" s="67"/>
      <c r="F40" s="67"/>
      <c r="G40" s="67"/>
      <c r="H40" s="68"/>
      <c r="I40" s="65"/>
    </row>
    <row r="41" spans="1:9" ht="17.5">
      <c r="D41" s="66"/>
      <c r="E41" s="67"/>
      <c r="F41" s="67"/>
      <c r="G41" s="67"/>
      <c r="H41" s="68"/>
      <c r="I41" s="65"/>
    </row>
    <row r="42" spans="1:9" ht="17.5">
      <c r="D42" s="66"/>
      <c r="E42" s="67"/>
      <c r="F42" s="67"/>
      <c r="G42" s="67"/>
      <c r="H42" s="68"/>
      <c r="I42" s="65"/>
    </row>
    <row r="43" spans="1:9" ht="17.5">
      <c r="D43" s="66"/>
      <c r="E43" s="67"/>
      <c r="F43" s="67"/>
      <c r="G43" s="67"/>
      <c r="H43" s="68"/>
      <c r="I43" s="65"/>
    </row>
    <row r="44" spans="1:9" ht="17.5">
      <c r="D44" s="66"/>
      <c r="E44" s="67"/>
      <c r="F44" s="67"/>
      <c r="G44" s="67"/>
      <c r="H44" s="68"/>
      <c r="I44" s="65"/>
    </row>
  </sheetData>
  <mergeCells count="4">
    <mergeCell ref="A3:D3"/>
    <mergeCell ref="A7:G7"/>
    <mergeCell ref="C5:G5"/>
    <mergeCell ref="A1:G1"/>
  </mergeCells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O71"/>
  <sheetViews>
    <sheetView showGridLines="0" zoomScaleNormal="64" workbookViewId="0">
      <selection activeCell="O5" sqref="O5"/>
    </sheetView>
  </sheetViews>
  <sheetFormatPr baseColWidth="10" defaultColWidth="8.81640625" defaultRowHeight="14.5"/>
  <cols>
    <col min="1" max="1" width="80" customWidth="1"/>
    <col min="2" max="2" width="13" customWidth="1"/>
    <col min="3" max="3" width="24" customWidth="1"/>
    <col min="4" max="4" width="12" customWidth="1"/>
    <col min="5" max="9" width="25" customWidth="1"/>
    <col min="10" max="10" width="31.1796875" customWidth="1"/>
    <col min="11" max="13" width="25" customWidth="1"/>
    <col min="14" max="14" width="17.6328125" customWidth="1"/>
    <col min="15" max="15" width="20.81640625" customWidth="1"/>
  </cols>
  <sheetData>
    <row r="1" spans="1:15" ht="21">
      <c r="A1" s="240" t="s">
        <v>130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>
      <c r="A2" s="252" t="s">
        <v>152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</row>
    <row r="3" spans="1:15" ht="50" thickBot="1">
      <c r="A3" s="44" t="s">
        <v>21</v>
      </c>
      <c r="B3" s="44" t="s">
        <v>22</v>
      </c>
      <c r="C3" s="44" t="s">
        <v>23</v>
      </c>
      <c r="D3" s="44" t="s">
        <v>4</v>
      </c>
      <c r="E3" s="44" t="s">
        <v>24</v>
      </c>
      <c r="F3" s="44" t="s">
        <v>6</v>
      </c>
      <c r="G3" s="44" t="s">
        <v>25</v>
      </c>
      <c r="H3" s="44" t="s">
        <v>26</v>
      </c>
      <c r="I3" s="44" t="s">
        <v>131</v>
      </c>
      <c r="J3" s="44" t="s">
        <v>27</v>
      </c>
      <c r="K3" s="44" t="s">
        <v>28</v>
      </c>
      <c r="L3" s="44" t="s">
        <v>29</v>
      </c>
      <c r="M3" s="44" t="s">
        <v>30</v>
      </c>
      <c r="N3" s="44" t="s">
        <v>313</v>
      </c>
      <c r="O3" s="187" t="s">
        <v>314</v>
      </c>
    </row>
    <row r="4" spans="1:15" ht="16.5">
      <c r="A4" s="18" t="s">
        <v>31</v>
      </c>
      <c r="B4" s="20" t="s">
        <v>32</v>
      </c>
      <c r="C4" s="21" t="s">
        <v>8</v>
      </c>
      <c r="D4" s="13" t="s">
        <v>9</v>
      </c>
      <c r="E4" s="37">
        <v>13500</v>
      </c>
      <c r="F4" s="13" t="str">
        <f>_xlfn.XLOOKUP(D4,'DATOS CENTRALES'!$B$9:$B$25,'DATOS CENTRALES'!$D$9:$D$25,, )</f>
        <v>oz</v>
      </c>
      <c r="G4" s="14">
        <f>_xlfn.XLOOKUP(D4,'DATOS CENTRALES'!$B$9:$B$25,'DATOS CENTRALES'!$C$9:$C$25)</f>
        <v>3547</v>
      </c>
      <c r="H4" s="14">
        <f>+Tabla1[[#This Row],[VOLUMEN VENDIDO]]*Tabla1[[#This Row],[PRECIO UNITARIO (USD)]]</f>
        <v>47884500</v>
      </c>
      <c r="I4" s="14">
        <f>_xlfn.XLOOKUP(C4&amp;"_"&amp;D4, 'DATOS CENTRALES'!$F$9:$F$25, 'DATOS CENTRALES'!$E$9:$E$25, 0, 0)</f>
        <v>1560</v>
      </c>
      <c r="J4" s="14">
        <f>Tabla1[[#This Row],[CV UNITARIO]]*Tabla1[[#This Row],[VOLUMEN VENDIDO]]</f>
        <v>21060000</v>
      </c>
      <c r="K4" s="14">
        <f>+Tabla1[[#This Row],[PRECIO UNITARIO (USD)]]-Tabla1[[#This Row],[CV UNITARIO]]</f>
        <v>1987</v>
      </c>
      <c r="L4" s="14">
        <f>+Tabla1[[#This Row],[INGRESO BRUTO (USD)]]-Tabla1[[#This Row],[COSTO VARIABLE TOTAL (USD)]]</f>
        <v>26824500</v>
      </c>
      <c r="M4" s="24">
        <f>+Tabla1[[#This Row],[MC TOTAL (USD)]]/Tabla1[[#This Row],[INGRESO BRUTO (USD)]]</f>
        <v>0.56019171130532841</v>
      </c>
      <c r="N4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0.1342913881388523</v>
      </c>
      <c r="O4">
        <f>+Tabla1[[#This Row],[COMPLEJIDAD X METAL UNITARIO]]*Tabla1[[#This Row],[VOLUMEN VENDIDO]]</f>
        <v>1812.933739874506</v>
      </c>
    </row>
    <row r="5" spans="1:15" ht="16.5">
      <c r="A5" s="19" t="s">
        <v>33</v>
      </c>
      <c r="B5" s="22" t="s">
        <v>34</v>
      </c>
      <c r="C5" s="23" t="s">
        <v>8</v>
      </c>
      <c r="D5" s="13" t="s">
        <v>9</v>
      </c>
      <c r="E5" s="38">
        <v>14200</v>
      </c>
      <c r="F5" s="13" t="str">
        <f>_xlfn.XLOOKUP(D5,'DATOS CENTRALES'!$B$9:$B$25,'DATOS CENTRALES'!$D$9:$D$25,, )</f>
        <v>oz</v>
      </c>
      <c r="G5" s="14">
        <f>_xlfn.XLOOKUP(D5,'DATOS CENTRALES'!$B$9:$B$25,'DATOS CENTRALES'!$C$9:$C$25)</f>
        <v>3547</v>
      </c>
      <c r="H5" s="14">
        <f>+Tabla1[[#This Row],[VOLUMEN VENDIDO]]*Tabla1[[#This Row],[PRECIO UNITARIO (USD)]]</f>
        <v>50367400</v>
      </c>
      <c r="I5" s="15">
        <f>_xlfn.XLOOKUP(C5&amp;"_"&amp;D5, 'DATOS CENTRALES'!$F$9:$F$25, 'DATOS CENTRALES'!$E$9:$E$25, 0, 0)</f>
        <v>1560</v>
      </c>
      <c r="J5" s="14">
        <f>Tabla1[[#This Row],[CV UNITARIO]]*Tabla1[[#This Row],[VOLUMEN VENDIDO]]</f>
        <v>22152000</v>
      </c>
      <c r="K5" s="14">
        <f>+Tabla1[[#This Row],[PRECIO UNITARIO (USD)]]-Tabla1[[#This Row],[CV UNITARIO]]</f>
        <v>1987</v>
      </c>
      <c r="L5" s="14">
        <f>+Tabla1[[#This Row],[INGRESO BRUTO (USD)]]-Tabla1[[#This Row],[COSTO VARIABLE TOTAL (USD)]]</f>
        <v>28215400</v>
      </c>
      <c r="M5" s="24">
        <f>+Tabla1[[#This Row],[MC TOTAL (USD)]]/Tabla1[[#This Row],[INGRESO BRUTO (USD)]]</f>
        <v>0.56019171130532841</v>
      </c>
      <c r="N5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0.1342913881388523</v>
      </c>
      <c r="O5">
        <f>+Tabla1[[#This Row],[COMPLEJIDAD X METAL UNITARIO]]*Tabla1[[#This Row],[VOLUMEN VENDIDO]]</f>
        <v>1906.9377115717027</v>
      </c>
    </row>
    <row r="6" spans="1:15" ht="16.5">
      <c r="A6" s="18" t="s">
        <v>35</v>
      </c>
      <c r="B6" s="20" t="s">
        <v>36</v>
      </c>
      <c r="C6" s="21" t="s">
        <v>8</v>
      </c>
      <c r="D6" s="13" t="s">
        <v>9</v>
      </c>
      <c r="E6" s="37">
        <v>13800</v>
      </c>
      <c r="F6" s="13" t="str">
        <f>_xlfn.XLOOKUP(D6,'DATOS CENTRALES'!$B$9:$B$25,'DATOS CENTRALES'!$D$9:$D$25,, )</f>
        <v>oz</v>
      </c>
      <c r="G6" s="14">
        <f>_xlfn.XLOOKUP(D6,'DATOS CENTRALES'!$B$9:$B$25,'DATOS CENTRALES'!$C$9:$C$25)</f>
        <v>3547</v>
      </c>
      <c r="H6" s="14">
        <f>+Tabla1[[#This Row],[VOLUMEN VENDIDO]]*Tabla1[[#This Row],[PRECIO UNITARIO (USD)]]</f>
        <v>48948600</v>
      </c>
      <c r="I6" s="14">
        <f>_xlfn.XLOOKUP(C6&amp;"_"&amp;D6, 'DATOS CENTRALES'!$F$9:$F$25, 'DATOS CENTRALES'!$E$9:$E$25, 0, 0)</f>
        <v>1560</v>
      </c>
      <c r="J6" s="14">
        <f>Tabla1[[#This Row],[CV UNITARIO]]*Tabla1[[#This Row],[VOLUMEN VENDIDO]]</f>
        <v>21528000</v>
      </c>
      <c r="K6" s="14">
        <f>+Tabla1[[#This Row],[PRECIO UNITARIO (USD)]]-Tabla1[[#This Row],[CV UNITARIO]]</f>
        <v>1987</v>
      </c>
      <c r="L6" s="14">
        <f>+Tabla1[[#This Row],[INGRESO BRUTO (USD)]]-Tabla1[[#This Row],[COSTO VARIABLE TOTAL (USD)]]</f>
        <v>27420600</v>
      </c>
      <c r="M6" s="24">
        <f>+Tabla1[[#This Row],[MC TOTAL (USD)]]/Tabla1[[#This Row],[INGRESO BRUTO (USD)]]</f>
        <v>0.56019171130532841</v>
      </c>
      <c r="N6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0.1342913881388523</v>
      </c>
      <c r="O6">
        <f>+Tabla1[[#This Row],[COMPLEJIDAD X METAL UNITARIO]]*Tabla1[[#This Row],[VOLUMEN VENDIDO]]</f>
        <v>1853.2211563161618</v>
      </c>
    </row>
    <row r="7" spans="1:15" ht="16.5">
      <c r="A7" s="19" t="s">
        <v>37</v>
      </c>
      <c r="B7" s="22" t="s">
        <v>38</v>
      </c>
      <c r="C7" s="23" t="s">
        <v>8</v>
      </c>
      <c r="D7" s="13" t="s">
        <v>9</v>
      </c>
      <c r="E7" s="38">
        <v>14132</v>
      </c>
      <c r="F7" s="13" t="str">
        <f>_xlfn.XLOOKUP(D7,'DATOS CENTRALES'!$B$9:$B$25,'DATOS CENTRALES'!$D$9:$D$25,, )</f>
        <v>oz</v>
      </c>
      <c r="G7" s="14">
        <f>_xlfn.XLOOKUP(D7,'DATOS CENTRALES'!$B$9:$B$25,'DATOS CENTRALES'!$C$9:$C$25)</f>
        <v>3547</v>
      </c>
      <c r="H7" s="14">
        <f>+Tabla1[[#This Row],[VOLUMEN VENDIDO]]*Tabla1[[#This Row],[PRECIO UNITARIO (USD)]]</f>
        <v>50126204</v>
      </c>
      <c r="I7" s="15">
        <f>_xlfn.XLOOKUP(C7&amp;"_"&amp;D7, 'DATOS CENTRALES'!$F$9:$F$25, 'DATOS CENTRALES'!$E$9:$E$25, 0, 0)</f>
        <v>1560</v>
      </c>
      <c r="J7" s="14">
        <f>Tabla1[[#This Row],[CV UNITARIO]]*Tabla1[[#This Row],[VOLUMEN VENDIDO]]</f>
        <v>22045920</v>
      </c>
      <c r="K7" s="14">
        <f>+Tabla1[[#This Row],[PRECIO UNITARIO (USD)]]-Tabla1[[#This Row],[CV UNITARIO]]</f>
        <v>1987</v>
      </c>
      <c r="L7" s="14">
        <f>+Tabla1[[#This Row],[INGRESO BRUTO (USD)]]-Tabla1[[#This Row],[COSTO VARIABLE TOTAL (USD)]]</f>
        <v>28080284</v>
      </c>
      <c r="M7" s="24">
        <f>+Tabla1[[#This Row],[MC TOTAL (USD)]]/Tabla1[[#This Row],[INGRESO BRUTO (USD)]]</f>
        <v>0.56019171130532841</v>
      </c>
      <c r="N7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0.1342913881388523</v>
      </c>
      <c r="O7">
        <f>+Tabla1[[#This Row],[COMPLEJIDAD X METAL UNITARIO]]*Tabla1[[#This Row],[VOLUMEN VENDIDO]]</f>
        <v>1897.8058971782607</v>
      </c>
    </row>
    <row r="8" spans="1:15" ht="16.5">
      <c r="A8" s="18" t="s">
        <v>39</v>
      </c>
      <c r="B8" s="20" t="s">
        <v>32</v>
      </c>
      <c r="C8" s="21" t="s">
        <v>8</v>
      </c>
      <c r="D8" s="13" t="s">
        <v>11</v>
      </c>
      <c r="E8" s="37">
        <v>4500</v>
      </c>
      <c r="F8" s="13" t="str">
        <f>_xlfn.XLOOKUP(D8,'DATOS CENTRALES'!$B$9:$B$25,'DATOS CENTRALES'!$D$9:$D$25,, )</f>
        <v>oz</v>
      </c>
      <c r="G8" s="14">
        <f>_xlfn.XLOOKUP(D8,'DATOS CENTRALES'!$B$9:$B$25,'DATOS CENTRALES'!$C$9:$C$25)</f>
        <v>41.87</v>
      </c>
      <c r="H8" s="14">
        <f>+Tabla1[[#This Row],[VOLUMEN VENDIDO]]*Tabla1[[#This Row],[PRECIO UNITARIO (USD)]]</f>
        <v>188415</v>
      </c>
      <c r="I8" s="14">
        <f>_xlfn.XLOOKUP(C8&amp;"_"&amp;D8, 'DATOS CENTRALES'!$F$9:$F$25, 'DATOS CENTRALES'!$E$9:$E$25, 0, 0)</f>
        <v>25</v>
      </c>
      <c r="J8" s="14">
        <f>Tabla1[[#This Row],[CV UNITARIO]]*Tabla1[[#This Row],[VOLUMEN VENDIDO]]</f>
        <v>112500</v>
      </c>
      <c r="K8" s="14">
        <f>+Tabla1[[#This Row],[PRECIO UNITARIO (USD)]]-Tabla1[[#This Row],[CV UNITARIO]]</f>
        <v>16.869999999999997</v>
      </c>
      <c r="L8" s="14">
        <f>+Tabla1[[#This Row],[INGRESO BRUTO (USD)]]-Tabla1[[#This Row],[COSTO VARIABLE TOTAL (USD)]]</f>
        <v>75915</v>
      </c>
      <c r="M8" s="24">
        <f>+Tabla1[[#This Row],[MC TOTAL (USD)]]/Tabla1[[#This Row],[INGRESO BRUTO (USD)]]</f>
        <v>0.40291378074994028</v>
      </c>
      <c r="N8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1.5852214325835202E-3</v>
      </c>
      <c r="O8">
        <f>+Tabla1[[#This Row],[COMPLEJIDAD X METAL UNITARIO]]*Tabla1[[#This Row],[VOLUMEN VENDIDO]]</f>
        <v>7.1334964466258404</v>
      </c>
    </row>
    <row r="9" spans="1:15" ht="16.5">
      <c r="A9" s="19" t="s">
        <v>40</v>
      </c>
      <c r="B9" s="22" t="s">
        <v>34</v>
      </c>
      <c r="C9" s="23" t="s">
        <v>8</v>
      </c>
      <c r="D9" s="13" t="s">
        <v>11</v>
      </c>
      <c r="E9" s="38">
        <v>4800</v>
      </c>
      <c r="F9" s="13" t="str">
        <f>_xlfn.XLOOKUP(D9,'DATOS CENTRALES'!$B$9:$B$25,'DATOS CENTRALES'!$D$9:$D$25,, )</f>
        <v>oz</v>
      </c>
      <c r="G9" s="14">
        <f>_xlfn.XLOOKUP(D9,'DATOS CENTRALES'!$B$9:$B$25,'DATOS CENTRALES'!$C$9:$C$25)</f>
        <v>41.87</v>
      </c>
      <c r="H9" s="14">
        <f>+Tabla1[[#This Row],[VOLUMEN VENDIDO]]*Tabla1[[#This Row],[PRECIO UNITARIO (USD)]]</f>
        <v>200976</v>
      </c>
      <c r="I9" s="15">
        <f>_xlfn.XLOOKUP(C9&amp;"_"&amp;D9, 'DATOS CENTRALES'!$F$9:$F$25, 'DATOS CENTRALES'!$E$9:$E$25, 0, 0)</f>
        <v>25</v>
      </c>
      <c r="J9" s="14">
        <f>Tabla1[[#This Row],[CV UNITARIO]]*Tabla1[[#This Row],[VOLUMEN VENDIDO]]</f>
        <v>120000</v>
      </c>
      <c r="K9" s="14">
        <f>+Tabla1[[#This Row],[PRECIO UNITARIO (USD)]]-Tabla1[[#This Row],[CV UNITARIO]]</f>
        <v>16.869999999999997</v>
      </c>
      <c r="L9" s="14">
        <f>+Tabla1[[#This Row],[INGRESO BRUTO (USD)]]-Tabla1[[#This Row],[COSTO VARIABLE TOTAL (USD)]]</f>
        <v>80976</v>
      </c>
      <c r="M9" s="24">
        <f>+Tabla1[[#This Row],[MC TOTAL (USD)]]/Tabla1[[#This Row],[INGRESO BRUTO (USD)]]</f>
        <v>0.40291378074994028</v>
      </c>
      <c r="N9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1.5852214325835202E-3</v>
      </c>
      <c r="O9">
        <f>+Tabla1[[#This Row],[COMPLEJIDAD X METAL UNITARIO]]*Tabla1[[#This Row],[VOLUMEN VENDIDO]]</f>
        <v>7.6090628764008965</v>
      </c>
    </row>
    <row r="10" spans="1:15" ht="16.5">
      <c r="A10" s="18" t="s">
        <v>41</v>
      </c>
      <c r="B10" s="20" t="s">
        <v>36</v>
      </c>
      <c r="C10" s="21" t="s">
        <v>8</v>
      </c>
      <c r="D10" s="13" t="s">
        <v>11</v>
      </c>
      <c r="E10" s="37">
        <v>4400</v>
      </c>
      <c r="F10" s="13" t="str">
        <f>_xlfn.XLOOKUP(D10,'DATOS CENTRALES'!$B$9:$B$25,'DATOS CENTRALES'!$D$9:$D$25,, )</f>
        <v>oz</v>
      </c>
      <c r="G10" s="14">
        <f>_xlfn.XLOOKUP(D10,'DATOS CENTRALES'!$B$9:$B$25,'DATOS CENTRALES'!$C$9:$C$25)</f>
        <v>41.87</v>
      </c>
      <c r="H10" s="14">
        <f>+Tabla1[[#This Row],[VOLUMEN VENDIDO]]*Tabla1[[#This Row],[PRECIO UNITARIO (USD)]]</f>
        <v>184228</v>
      </c>
      <c r="I10" s="14">
        <f>_xlfn.XLOOKUP(C10&amp;"_"&amp;D10, 'DATOS CENTRALES'!$F$9:$F$25, 'DATOS CENTRALES'!$E$9:$E$25, 0, 0)</f>
        <v>25</v>
      </c>
      <c r="J10" s="14">
        <f>Tabla1[[#This Row],[CV UNITARIO]]*Tabla1[[#This Row],[VOLUMEN VENDIDO]]</f>
        <v>110000</v>
      </c>
      <c r="K10" s="14">
        <f>+Tabla1[[#This Row],[PRECIO UNITARIO (USD)]]-Tabla1[[#This Row],[CV UNITARIO]]</f>
        <v>16.869999999999997</v>
      </c>
      <c r="L10" s="14">
        <f>+Tabla1[[#This Row],[INGRESO BRUTO (USD)]]-Tabla1[[#This Row],[COSTO VARIABLE TOTAL (USD)]]</f>
        <v>74228</v>
      </c>
      <c r="M10" s="24">
        <f>+Tabla1[[#This Row],[MC TOTAL (USD)]]/Tabla1[[#This Row],[INGRESO BRUTO (USD)]]</f>
        <v>0.40291378074994028</v>
      </c>
      <c r="N10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1.5852214325835202E-3</v>
      </c>
      <c r="O10">
        <f>+Tabla1[[#This Row],[COMPLEJIDAD X METAL UNITARIO]]*Tabla1[[#This Row],[VOLUMEN VENDIDO]]</f>
        <v>6.9749743033674889</v>
      </c>
    </row>
    <row r="11" spans="1:15" ht="16.5">
      <c r="A11" s="19" t="s">
        <v>42</v>
      </c>
      <c r="B11" s="22" t="s">
        <v>38</v>
      </c>
      <c r="C11" s="23" t="s">
        <v>8</v>
      </c>
      <c r="D11" s="13" t="s">
        <v>11</v>
      </c>
      <c r="E11" s="38">
        <v>4658</v>
      </c>
      <c r="F11" s="13" t="str">
        <f>_xlfn.XLOOKUP(D11,'DATOS CENTRALES'!$B$9:$B$25,'DATOS CENTRALES'!$D$9:$D$25,, )</f>
        <v>oz</v>
      </c>
      <c r="G11" s="14">
        <f>_xlfn.XLOOKUP(D11,'DATOS CENTRALES'!$B$9:$B$25,'DATOS CENTRALES'!$C$9:$C$25)</f>
        <v>41.87</v>
      </c>
      <c r="H11" s="14">
        <f>+Tabla1[[#This Row],[VOLUMEN VENDIDO]]*Tabla1[[#This Row],[PRECIO UNITARIO (USD)]]</f>
        <v>195030.46</v>
      </c>
      <c r="I11" s="15">
        <f>_xlfn.XLOOKUP(C11&amp;"_"&amp;D11, 'DATOS CENTRALES'!$F$9:$F$25, 'DATOS CENTRALES'!$E$9:$E$25, 0, 0)</f>
        <v>25</v>
      </c>
      <c r="J11" s="14">
        <f>Tabla1[[#This Row],[CV UNITARIO]]*Tabla1[[#This Row],[VOLUMEN VENDIDO]]</f>
        <v>116450</v>
      </c>
      <c r="K11" s="14">
        <f>+Tabla1[[#This Row],[PRECIO UNITARIO (USD)]]-Tabla1[[#This Row],[CV UNITARIO]]</f>
        <v>16.869999999999997</v>
      </c>
      <c r="L11" s="14">
        <f>+Tabla1[[#This Row],[INGRESO BRUTO (USD)]]-Tabla1[[#This Row],[COSTO VARIABLE TOTAL (USD)]]</f>
        <v>78580.459999999992</v>
      </c>
      <c r="M11" s="24">
        <f>+Tabla1[[#This Row],[MC TOTAL (USD)]]/Tabla1[[#This Row],[INGRESO BRUTO (USD)]]</f>
        <v>0.40291378074994028</v>
      </c>
      <c r="N11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1.5852214325835202E-3</v>
      </c>
      <c r="O11">
        <f>+Tabla1[[#This Row],[COMPLEJIDAD X METAL UNITARIO]]*Tabla1[[#This Row],[VOLUMEN VENDIDO]]</f>
        <v>7.3839614329740373</v>
      </c>
    </row>
    <row r="12" spans="1:15" ht="16.5">
      <c r="A12" s="18" t="s">
        <v>43</v>
      </c>
      <c r="B12" s="20" t="s">
        <v>32</v>
      </c>
      <c r="C12" s="21" t="s">
        <v>12</v>
      </c>
      <c r="D12" s="13" t="s">
        <v>9</v>
      </c>
      <c r="E12" s="37">
        <v>3900</v>
      </c>
      <c r="F12" s="13" t="str">
        <f>_xlfn.XLOOKUP(D12,'DATOS CENTRALES'!$B$9:$B$25,'DATOS CENTRALES'!$D$9:$D$25,, )</f>
        <v>oz</v>
      </c>
      <c r="G12" s="14">
        <f>_xlfn.XLOOKUP(D12,'DATOS CENTRALES'!$B$9:$B$25,'DATOS CENTRALES'!$C$9:$C$25)</f>
        <v>3547</v>
      </c>
      <c r="H12" s="14">
        <f>+Tabla1[[#This Row],[VOLUMEN VENDIDO]]*Tabla1[[#This Row],[PRECIO UNITARIO (USD)]]</f>
        <v>13833300</v>
      </c>
      <c r="I12" s="14">
        <f>_xlfn.XLOOKUP(C12&amp;"_"&amp;D12, 'DATOS CENTRALES'!$F$9:$F$25, 'DATOS CENTRALES'!$E$9:$E$25, 0, 0)</f>
        <v>2678</v>
      </c>
      <c r="J12" s="14">
        <f>Tabla1[[#This Row],[CV UNITARIO]]*Tabla1[[#This Row],[VOLUMEN VENDIDO]]</f>
        <v>10444200</v>
      </c>
      <c r="K12" s="14">
        <f>+Tabla1[[#This Row],[PRECIO UNITARIO (USD)]]-Tabla1[[#This Row],[CV UNITARIO]]</f>
        <v>869</v>
      </c>
      <c r="L12" s="14">
        <f>+Tabla1[[#This Row],[INGRESO BRUTO (USD)]]-Tabla1[[#This Row],[COSTO VARIABLE TOTAL (USD)]]</f>
        <v>3389100</v>
      </c>
      <c r="M12" s="24">
        <f>+Tabla1[[#This Row],[MC TOTAL (USD)]]/Tabla1[[#This Row],[INGRESO BRUTO (USD)]]</f>
        <v>0.24499577107414716</v>
      </c>
      <c r="N12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0.24416802892488196</v>
      </c>
      <c r="O12">
        <f>+Tabla1[[#This Row],[COMPLEJIDAD X METAL UNITARIO]]*Tabla1[[#This Row],[VOLUMEN VENDIDO]]</f>
        <v>952.25531280703967</v>
      </c>
    </row>
    <row r="13" spans="1:15" ht="16.5">
      <c r="A13" s="19" t="s">
        <v>44</v>
      </c>
      <c r="B13" s="22" t="s">
        <v>34</v>
      </c>
      <c r="C13" s="23" t="s">
        <v>12</v>
      </c>
      <c r="D13" s="13" t="s">
        <v>9</v>
      </c>
      <c r="E13" s="38">
        <v>4100</v>
      </c>
      <c r="F13" s="13" t="str">
        <f>_xlfn.XLOOKUP(D13,'DATOS CENTRALES'!$B$9:$B$25,'DATOS CENTRALES'!$D$9:$D$25,, )</f>
        <v>oz</v>
      </c>
      <c r="G13" s="14">
        <f>_xlfn.XLOOKUP(D13,'DATOS CENTRALES'!$B$9:$B$25,'DATOS CENTRALES'!$C$9:$C$25)</f>
        <v>3547</v>
      </c>
      <c r="H13" s="14">
        <f>+Tabla1[[#This Row],[VOLUMEN VENDIDO]]*Tabla1[[#This Row],[PRECIO UNITARIO (USD)]]</f>
        <v>14542700</v>
      </c>
      <c r="I13" s="15">
        <f>_xlfn.XLOOKUP(C13&amp;"_"&amp;D13, 'DATOS CENTRALES'!$F$9:$F$25, 'DATOS CENTRALES'!$E$9:$E$25, 0, 0)</f>
        <v>2678</v>
      </c>
      <c r="J13" s="14">
        <f>Tabla1[[#This Row],[CV UNITARIO]]*Tabla1[[#This Row],[VOLUMEN VENDIDO]]</f>
        <v>10979800</v>
      </c>
      <c r="K13" s="14">
        <f>+Tabla1[[#This Row],[PRECIO UNITARIO (USD)]]-Tabla1[[#This Row],[CV UNITARIO]]</f>
        <v>869</v>
      </c>
      <c r="L13" s="14">
        <f>+Tabla1[[#This Row],[INGRESO BRUTO (USD)]]-Tabla1[[#This Row],[COSTO VARIABLE TOTAL (USD)]]</f>
        <v>3562900</v>
      </c>
      <c r="M13" s="24">
        <f>+Tabla1[[#This Row],[MC TOTAL (USD)]]/Tabla1[[#This Row],[INGRESO BRUTO (USD)]]</f>
        <v>0.24499577107414716</v>
      </c>
      <c r="N13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0.24416802892488196</v>
      </c>
      <c r="O13">
        <f>+Tabla1[[#This Row],[COMPLEJIDAD X METAL UNITARIO]]*Tabla1[[#This Row],[VOLUMEN VENDIDO]]</f>
        <v>1001.0889185920161</v>
      </c>
    </row>
    <row r="14" spans="1:15" ht="16.5">
      <c r="A14" s="18" t="s">
        <v>45</v>
      </c>
      <c r="B14" s="20" t="s">
        <v>36</v>
      </c>
      <c r="C14" s="21" t="s">
        <v>12</v>
      </c>
      <c r="D14" s="13" t="s">
        <v>9</v>
      </c>
      <c r="E14" s="37">
        <v>3800</v>
      </c>
      <c r="F14" s="13" t="str">
        <f>_xlfn.XLOOKUP(D14,'DATOS CENTRALES'!$B$9:$B$25,'DATOS CENTRALES'!$D$9:$D$25,, )</f>
        <v>oz</v>
      </c>
      <c r="G14" s="14">
        <f>_xlfn.XLOOKUP(D14,'DATOS CENTRALES'!$B$9:$B$25,'DATOS CENTRALES'!$C$9:$C$25)</f>
        <v>3547</v>
      </c>
      <c r="H14" s="14">
        <f>+Tabla1[[#This Row],[VOLUMEN VENDIDO]]*Tabla1[[#This Row],[PRECIO UNITARIO (USD)]]</f>
        <v>13478600</v>
      </c>
      <c r="I14" s="14">
        <f>_xlfn.XLOOKUP(C14&amp;"_"&amp;D14, 'DATOS CENTRALES'!$F$9:$F$25, 'DATOS CENTRALES'!$E$9:$E$25, 0, 0)</f>
        <v>2678</v>
      </c>
      <c r="J14" s="14">
        <f>Tabla1[[#This Row],[CV UNITARIO]]*Tabla1[[#This Row],[VOLUMEN VENDIDO]]</f>
        <v>10176400</v>
      </c>
      <c r="K14" s="14">
        <f>+Tabla1[[#This Row],[PRECIO UNITARIO (USD)]]-Tabla1[[#This Row],[CV UNITARIO]]</f>
        <v>869</v>
      </c>
      <c r="L14" s="14">
        <f>+Tabla1[[#This Row],[INGRESO BRUTO (USD)]]-Tabla1[[#This Row],[COSTO VARIABLE TOTAL (USD)]]</f>
        <v>3302200</v>
      </c>
      <c r="M14" s="24">
        <f>+Tabla1[[#This Row],[MC TOTAL (USD)]]/Tabla1[[#This Row],[INGRESO BRUTO (USD)]]</f>
        <v>0.24499577107414716</v>
      </c>
      <c r="N14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0.24416802892488199</v>
      </c>
      <c r="O14">
        <f>+Tabla1[[#This Row],[COMPLEJIDAD X METAL UNITARIO]]*Tabla1[[#This Row],[VOLUMEN VENDIDO]]</f>
        <v>927.83850991455154</v>
      </c>
    </row>
    <row r="15" spans="1:15" ht="16.5">
      <c r="A15" s="19" t="s">
        <v>46</v>
      </c>
      <c r="B15" s="22" t="s">
        <v>38</v>
      </c>
      <c r="C15" s="23" t="s">
        <v>12</v>
      </c>
      <c r="D15" s="13" t="s">
        <v>9</v>
      </c>
      <c r="E15" s="38">
        <v>4042</v>
      </c>
      <c r="F15" s="13" t="str">
        <f>_xlfn.XLOOKUP(D15,'DATOS CENTRALES'!$B$9:$B$25,'DATOS CENTRALES'!$D$9:$D$25,, )</f>
        <v>oz</v>
      </c>
      <c r="G15" s="14">
        <f>_xlfn.XLOOKUP(D15,'DATOS CENTRALES'!$B$9:$B$25,'DATOS CENTRALES'!$C$9:$C$25)</f>
        <v>3547</v>
      </c>
      <c r="H15" s="14">
        <f>+Tabla1[[#This Row],[VOLUMEN VENDIDO]]*Tabla1[[#This Row],[PRECIO UNITARIO (USD)]]</f>
        <v>14336974</v>
      </c>
      <c r="I15" s="15">
        <f>_xlfn.XLOOKUP(C15&amp;"_"&amp;D15, 'DATOS CENTRALES'!$F$9:$F$25, 'DATOS CENTRALES'!$E$9:$E$25, 0, 0)</f>
        <v>2678</v>
      </c>
      <c r="J15" s="14">
        <f>Tabla1[[#This Row],[CV UNITARIO]]*Tabla1[[#This Row],[VOLUMEN VENDIDO]]</f>
        <v>10824476</v>
      </c>
      <c r="K15" s="14">
        <f>+Tabla1[[#This Row],[PRECIO UNITARIO (USD)]]-Tabla1[[#This Row],[CV UNITARIO]]</f>
        <v>869</v>
      </c>
      <c r="L15" s="14">
        <f>+Tabla1[[#This Row],[INGRESO BRUTO (USD)]]-Tabla1[[#This Row],[COSTO VARIABLE TOTAL (USD)]]</f>
        <v>3512498</v>
      </c>
      <c r="M15" s="24">
        <f>+Tabla1[[#This Row],[MC TOTAL (USD)]]/Tabla1[[#This Row],[INGRESO BRUTO (USD)]]</f>
        <v>0.24499577107414716</v>
      </c>
      <c r="N15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0.24416802892488199</v>
      </c>
      <c r="O15">
        <f>+Tabla1[[#This Row],[COMPLEJIDAD X METAL UNITARIO]]*Tabla1[[#This Row],[VOLUMEN VENDIDO]]</f>
        <v>986.92717291437293</v>
      </c>
    </row>
    <row r="16" spans="1:15" ht="16.5">
      <c r="A16" s="18" t="s">
        <v>47</v>
      </c>
      <c r="B16" s="20" t="s">
        <v>32</v>
      </c>
      <c r="C16" s="21" t="s">
        <v>12</v>
      </c>
      <c r="D16" s="13" t="s">
        <v>11</v>
      </c>
      <c r="E16" s="37">
        <v>275000</v>
      </c>
      <c r="F16" s="13" t="str">
        <f>_xlfn.XLOOKUP(D16,'DATOS CENTRALES'!$B$9:$B$25,'DATOS CENTRALES'!$D$9:$D$25,, )</f>
        <v>oz</v>
      </c>
      <c r="G16" s="14">
        <f>_xlfn.XLOOKUP(D16,'DATOS CENTRALES'!$B$9:$B$25,'DATOS CENTRALES'!$C$9:$C$25)</f>
        <v>41.87</v>
      </c>
      <c r="H16" s="14">
        <f>+Tabla1[[#This Row],[VOLUMEN VENDIDO]]*Tabla1[[#This Row],[PRECIO UNITARIO (USD)]]</f>
        <v>11514250</v>
      </c>
      <c r="I16" s="14">
        <f>_xlfn.XLOOKUP(C16&amp;"_"&amp;D16, 'DATOS CENTRALES'!$F$9:$F$25, 'DATOS CENTRALES'!$E$9:$E$25, 0, 0)</f>
        <v>27.33</v>
      </c>
      <c r="J16" s="14">
        <f>Tabla1[[#This Row],[CV UNITARIO]]*Tabla1[[#This Row],[VOLUMEN VENDIDO]]</f>
        <v>7515749.9999999991</v>
      </c>
      <c r="K16" s="14">
        <f>+Tabla1[[#This Row],[PRECIO UNITARIO (USD)]]-Tabla1[[#This Row],[CV UNITARIO]]</f>
        <v>14.54</v>
      </c>
      <c r="L16" s="14">
        <f>+Tabla1[[#This Row],[INGRESO BRUTO (USD)]]-Tabla1[[#This Row],[COSTO VARIABLE TOTAL (USD)]]</f>
        <v>3998500.0000000009</v>
      </c>
      <c r="M16" s="24">
        <f>+Tabla1[[#This Row],[MC TOTAL (USD)]]/Tabla1[[#This Row],[INGRESO BRUTO (USD)]]</f>
        <v>0.34726534511583479</v>
      </c>
      <c r="N16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2.8822428449632952E-3</v>
      </c>
      <c r="O16">
        <f>+Tabla1[[#This Row],[COMPLEJIDAD X METAL UNITARIO]]*Tabla1[[#This Row],[VOLUMEN VENDIDO]]</f>
        <v>792.61678236490616</v>
      </c>
    </row>
    <row r="17" spans="1:15" ht="16.5">
      <c r="A17" s="19" t="s">
        <v>48</v>
      </c>
      <c r="B17" s="22" t="s">
        <v>34</v>
      </c>
      <c r="C17" s="23" t="s">
        <v>12</v>
      </c>
      <c r="D17" s="13" t="s">
        <v>11</v>
      </c>
      <c r="E17" s="38">
        <v>285000</v>
      </c>
      <c r="F17" s="13" t="str">
        <f>_xlfn.XLOOKUP(D17,'DATOS CENTRALES'!$B$9:$B$25,'DATOS CENTRALES'!$D$9:$D$25,, )</f>
        <v>oz</v>
      </c>
      <c r="G17" s="14">
        <f>_xlfn.XLOOKUP(D17,'DATOS CENTRALES'!$B$9:$B$25,'DATOS CENTRALES'!$C$9:$C$25)</f>
        <v>41.87</v>
      </c>
      <c r="H17" s="14">
        <f>+Tabla1[[#This Row],[VOLUMEN VENDIDO]]*Tabla1[[#This Row],[PRECIO UNITARIO (USD)]]</f>
        <v>11932950</v>
      </c>
      <c r="I17" s="15">
        <f>_xlfn.XLOOKUP(C17&amp;"_"&amp;D17, 'DATOS CENTRALES'!$F$9:$F$25, 'DATOS CENTRALES'!$E$9:$E$25, 0, 0)</f>
        <v>27.33</v>
      </c>
      <c r="J17" s="14">
        <f>Tabla1[[#This Row],[CV UNITARIO]]*Tabla1[[#This Row],[VOLUMEN VENDIDO]]</f>
        <v>7789049.9999999991</v>
      </c>
      <c r="K17" s="14">
        <f>+Tabla1[[#This Row],[PRECIO UNITARIO (USD)]]-Tabla1[[#This Row],[CV UNITARIO]]</f>
        <v>14.54</v>
      </c>
      <c r="L17" s="14">
        <f>+Tabla1[[#This Row],[INGRESO BRUTO (USD)]]-Tabla1[[#This Row],[COSTO VARIABLE TOTAL (USD)]]</f>
        <v>4143900.0000000009</v>
      </c>
      <c r="M17" s="24">
        <f>+Tabla1[[#This Row],[MC TOTAL (USD)]]/Tabla1[[#This Row],[INGRESO BRUTO (USD)]]</f>
        <v>0.34726534511583479</v>
      </c>
      <c r="N17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2.8822428449632952E-3</v>
      </c>
      <c r="O17">
        <f>+Tabla1[[#This Row],[COMPLEJIDAD X METAL UNITARIO]]*Tabla1[[#This Row],[VOLUMEN VENDIDO]]</f>
        <v>821.43921081453914</v>
      </c>
    </row>
    <row r="18" spans="1:15" ht="16.5">
      <c r="A18" s="18" t="s">
        <v>49</v>
      </c>
      <c r="B18" s="20" t="s">
        <v>36</v>
      </c>
      <c r="C18" s="21" t="s">
        <v>12</v>
      </c>
      <c r="D18" s="13" t="s">
        <v>11</v>
      </c>
      <c r="E18" s="37">
        <v>270000</v>
      </c>
      <c r="F18" s="13" t="str">
        <f>_xlfn.XLOOKUP(D18,'DATOS CENTRALES'!$B$9:$B$25,'DATOS CENTRALES'!$D$9:$D$25,, )</f>
        <v>oz</v>
      </c>
      <c r="G18" s="14">
        <f>_xlfn.XLOOKUP(D18,'DATOS CENTRALES'!$B$9:$B$25,'DATOS CENTRALES'!$C$9:$C$25)</f>
        <v>41.87</v>
      </c>
      <c r="H18" s="14">
        <f>+Tabla1[[#This Row],[VOLUMEN VENDIDO]]*Tabla1[[#This Row],[PRECIO UNITARIO (USD)]]</f>
        <v>11304900</v>
      </c>
      <c r="I18" s="14">
        <f>_xlfn.XLOOKUP(C18&amp;"_"&amp;D18, 'DATOS CENTRALES'!$F$9:$F$25, 'DATOS CENTRALES'!$E$9:$E$25, 0, 0)</f>
        <v>27.33</v>
      </c>
      <c r="J18" s="14">
        <f>Tabla1[[#This Row],[CV UNITARIO]]*Tabla1[[#This Row],[VOLUMEN VENDIDO]]</f>
        <v>7379100</v>
      </c>
      <c r="K18" s="14">
        <f>+Tabla1[[#This Row],[PRECIO UNITARIO (USD)]]-Tabla1[[#This Row],[CV UNITARIO]]</f>
        <v>14.54</v>
      </c>
      <c r="L18" s="14">
        <f>+Tabla1[[#This Row],[INGRESO BRUTO (USD)]]-Tabla1[[#This Row],[COSTO VARIABLE TOTAL (USD)]]</f>
        <v>3925800</v>
      </c>
      <c r="M18" s="24">
        <f>+Tabla1[[#This Row],[MC TOTAL (USD)]]/Tabla1[[#This Row],[INGRESO BRUTO (USD)]]</f>
        <v>0.34726534511583473</v>
      </c>
      <c r="N18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2.8822428449632952E-3</v>
      </c>
      <c r="O18">
        <f>+Tabla1[[#This Row],[COMPLEJIDAD X METAL UNITARIO]]*Tabla1[[#This Row],[VOLUMEN VENDIDO]]</f>
        <v>778.20556814008967</v>
      </c>
    </row>
    <row r="19" spans="1:15" ht="16.5">
      <c r="A19" s="19" t="s">
        <v>50</v>
      </c>
      <c r="B19" s="22" t="s">
        <v>38</v>
      </c>
      <c r="C19" s="23" t="s">
        <v>12</v>
      </c>
      <c r="D19" s="13" t="s">
        <v>11</v>
      </c>
      <c r="E19" s="38">
        <v>289821</v>
      </c>
      <c r="F19" s="13" t="str">
        <f>_xlfn.XLOOKUP(D19,'DATOS CENTRALES'!$B$9:$B$25,'DATOS CENTRALES'!$D$9:$D$25,, )</f>
        <v>oz</v>
      </c>
      <c r="G19" s="14">
        <f>_xlfn.XLOOKUP(D19,'DATOS CENTRALES'!$B$9:$B$25,'DATOS CENTRALES'!$C$9:$C$25)</f>
        <v>41.87</v>
      </c>
      <c r="H19" s="14">
        <f>+Tabla1[[#This Row],[VOLUMEN VENDIDO]]*Tabla1[[#This Row],[PRECIO UNITARIO (USD)]]</f>
        <v>12134805.27</v>
      </c>
      <c r="I19" s="15">
        <f>_xlfn.XLOOKUP(C19&amp;"_"&amp;D19, 'DATOS CENTRALES'!$F$9:$F$25, 'DATOS CENTRALES'!$E$9:$E$25, 0, 0)</f>
        <v>27.33</v>
      </c>
      <c r="J19" s="14">
        <f>Tabla1[[#This Row],[CV UNITARIO]]*Tabla1[[#This Row],[VOLUMEN VENDIDO]]</f>
        <v>7920807.9299999997</v>
      </c>
      <c r="K19" s="14">
        <f>+Tabla1[[#This Row],[PRECIO UNITARIO (USD)]]-Tabla1[[#This Row],[CV UNITARIO]]</f>
        <v>14.54</v>
      </c>
      <c r="L19" s="14">
        <f>+Tabla1[[#This Row],[INGRESO BRUTO (USD)]]-Tabla1[[#This Row],[COSTO VARIABLE TOTAL (USD)]]</f>
        <v>4213997.34</v>
      </c>
      <c r="M19" s="24">
        <f>+Tabla1[[#This Row],[MC TOTAL (USD)]]/Tabla1[[#This Row],[INGRESO BRUTO (USD)]]</f>
        <v>0.34726534511583473</v>
      </c>
      <c r="N19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2.8822428449632952E-3</v>
      </c>
      <c r="O19">
        <f>+Tabla1[[#This Row],[COMPLEJIDAD X METAL UNITARIO]]*Tabla1[[#This Row],[VOLUMEN VENDIDO]]</f>
        <v>835.33450357010713</v>
      </c>
    </row>
    <row r="20" spans="1:15" ht="16.5">
      <c r="A20" s="18" t="s">
        <v>51</v>
      </c>
      <c r="B20" s="20" t="s">
        <v>32</v>
      </c>
      <c r="C20" s="21" t="s">
        <v>12</v>
      </c>
      <c r="D20" s="13" t="s">
        <v>13</v>
      </c>
      <c r="E20" s="37">
        <v>670</v>
      </c>
      <c r="F20" s="13" t="str">
        <f>_xlfn.XLOOKUP(D20,'DATOS CENTRALES'!$B$9:$B$25,'DATOS CENTRALES'!$D$9:$D$25,, )</f>
        <v>MT</v>
      </c>
      <c r="G20" s="14">
        <f>_xlfn.XLOOKUP(D20,'DATOS CENTRALES'!$B$9:$B$25,'DATOS CENTRALES'!$C$9:$C$25)</f>
        <v>1912</v>
      </c>
      <c r="H20" s="14">
        <f>+Tabla1[[#This Row],[VOLUMEN VENDIDO]]*Tabla1[[#This Row],[PRECIO UNITARIO (USD)]]</f>
        <v>1281040</v>
      </c>
      <c r="I20" s="14">
        <f>_xlfn.XLOOKUP(C20&amp;"_"&amp;D20, 'DATOS CENTRALES'!$F$9:$F$25, 'DATOS CENTRALES'!$E$9:$E$25, 0, 0)</f>
        <v>1250</v>
      </c>
      <c r="J20" s="14">
        <f>Tabla1[[#This Row],[CV UNITARIO]]*Tabla1[[#This Row],[VOLUMEN VENDIDO]]</f>
        <v>837500</v>
      </c>
      <c r="K20" s="14">
        <f>+Tabla1[[#This Row],[PRECIO UNITARIO (USD)]]-Tabla1[[#This Row],[CV UNITARIO]]</f>
        <v>662</v>
      </c>
      <c r="L20" s="14">
        <f>+Tabla1[[#This Row],[INGRESO BRUTO (USD)]]-Tabla1[[#This Row],[COSTO VARIABLE TOTAL (USD)]]</f>
        <v>443540</v>
      </c>
      <c r="M20" s="24">
        <f>+Tabla1[[#This Row],[MC TOTAL (USD)]]/Tabla1[[#This Row],[INGRESO BRUTO (USD)]]</f>
        <v>0.34623430962343094</v>
      </c>
      <c r="N20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0.13161806351969957</v>
      </c>
      <c r="O20">
        <f>+Tabla1[[#This Row],[COMPLEJIDAD X METAL UNITARIO]]*Tabla1[[#This Row],[VOLUMEN VENDIDO]]</f>
        <v>88.184102558198717</v>
      </c>
    </row>
    <row r="21" spans="1:15" ht="16.5">
      <c r="A21" s="19" t="s">
        <v>52</v>
      </c>
      <c r="B21" s="22" t="s">
        <v>34</v>
      </c>
      <c r="C21" s="23" t="s">
        <v>12</v>
      </c>
      <c r="D21" s="13" t="s">
        <v>13</v>
      </c>
      <c r="E21" s="38">
        <v>690</v>
      </c>
      <c r="F21" s="13" t="str">
        <f>_xlfn.XLOOKUP(D21,'DATOS CENTRALES'!$B$9:$B$25,'DATOS CENTRALES'!$D$9:$D$25,, )</f>
        <v>MT</v>
      </c>
      <c r="G21" s="14">
        <f>_xlfn.XLOOKUP(D21,'DATOS CENTRALES'!$B$9:$B$25,'DATOS CENTRALES'!$C$9:$C$25)</f>
        <v>1912</v>
      </c>
      <c r="H21" s="14">
        <f>+Tabla1[[#This Row],[VOLUMEN VENDIDO]]*Tabla1[[#This Row],[PRECIO UNITARIO (USD)]]</f>
        <v>1319280</v>
      </c>
      <c r="I21" s="15">
        <f>_xlfn.XLOOKUP(C21&amp;"_"&amp;D21, 'DATOS CENTRALES'!$F$9:$F$25, 'DATOS CENTRALES'!$E$9:$E$25, 0, 0)</f>
        <v>1250</v>
      </c>
      <c r="J21" s="14">
        <f>Tabla1[[#This Row],[CV UNITARIO]]*Tabla1[[#This Row],[VOLUMEN VENDIDO]]</f>
        <v>862500</v>
      </c>
      <c r="K21" s="14">
        <f>+Tabla1[[#This Row],[PRECIO UNITARIO (USD)]]-Tabla1[[#This Row],[CV UNITARIO]]</f>
        <v>662</v>
      </c>
      <c r="L21" s="14">
        <f>+Tabla1[[#This Row],[INGRESO BRUTO (USD)]]-Tabla1[[#This Row],[COSTO VARIABLE TOTAL (USD)]]</f>
        <v>456780</v>
      </c>
      <c r="M21" s="24">
        <f>+Tabla1[[#This Row],[MC TOTAL (USD)]]/Tabla1[[#This Row],[INGRESO BRUTO (USD)]]</f>
        <v>0.34623430962343094</v>
      </c>
      <c r="N21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0.13161806351969954</v>
      </c>
      <c r="O21">
        <f>+Tabla1[[#This Row],[COMPLEJIDAD X METAL UNITARIO]]*Tabla1[[#This Row],[VOLUMEN VENDIDO]]</f>
        <v>90.816463828592688</v>
      </c>
    </row>
    <row r="22" spans="1:15" ht="16.5">
      <c r="A22" s="18" t="s">
        <v>53</v>
      </c>
      <c r="B22" s="20" t="s">
        <v>36</v>
      </c>
      <c r="C22" s="21" t="s">
        <v>12</v>
      </c>
      <c r="D22" s="13" t="s">
        <v>13</v>
      </c>
      <c r="E22" s="37">
        <v>650</v>
      </c>
      <c r="F22" s="13" t="str">
        <f>_xlfn.XLOOKUP(D22,'DATOS CENTRALES'!$B$9:$B$25,'DATOS CENTRALES'!$D$9:$D$25,, )</f>
        <v>MT</v>
      </c>
      <c r="G22" s="14">
        <f>_xlfn.XLOOKUP(D22,'DATOS CENTRALES'!$B$9:$B$25,'DATOS CENTRALES'!$C$9:$C$25)</f>
        <v>1912</v>
      </c>
      <c r="H22" s="14">
        <f>+Tabla1[[#This Row],[VOLUMEN VENDIDO]]*Tabla1[[#This Row],[PRECIO UNITARIO (USD)]]</f>
        <v>1242800</v>
      </c>
      <c r="I22" s="14">
        <f>_xlfn.XLOOKUP(C22&amp;"_"&amp;D22, 'DATOS CENTRALES'!$F$9:$F$25, 'DATOS CENTRALES'!$E$9:$E$25, 0, 0)</f>
        <v>1250</v>
      </c>
      <c r="J22" s="14">
        <f>Tabla1[[#This Row],[CV UNITARIO]]*Tabla1[[#This Row],[VOLUMEN VENDIDO]]</f>
        <v>812500</v>
      </c>
      <c r="K22" s="14">
        <f>+Tabla1[[#This Row],[PRECIO UNITARIO (USD)]]-Tabla1[[#This Row],[CV UNITARIO]]</f>
        <v>662</v>
      </c>
      <c r="L22" s="14">
        <f>+Tabla1[[#This Row],[INGRESO BRUTO (USD)]]-Tabla1[[#This Row],[COSTO VARIABLE TOTAL (USD)]]</f>
        <v>430300</v>
      </c>
      <c r="M22" s="24">
        <f>+Tabla1[[#This Row],[MC TOTAL (USD)]]/Tabla1[[#This Row],[INGRESO BRUTO (USD)]]</f>
        <v>0.34623430962343094</v>
      </c>
      <c r="N22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0.13161806351969957</v>
      </c>
      <c r="O22">
        <f>+Tabla1[[#This Row],[COMPLEJIDAD X METAL UNITARIO]]*Tabla1[[#This Row],[VOLUMEN VENDIDO]]</f>
        <v>85.551741287804717</v>
      </c>
    </row>
    <row r="23" spans="1:15" ht="16.5">
      <c r="A23" s="19" t="s">
        <v>54</v>
      </c>
      <c r="B23" s="22" t="s">
        <v>38</v>
      </c>
      <c r="C23" s="23" t="s">
        <v>12</v>
      </c>
      <c r="D23" s="13" t="s">
        <v>13</v>
      </c>
      <c r="E23" s="38">
        <v>724</v>
      </c>
      <c r="F23" s="13" t="str">
        <f>_xlfn.XLOOKUP(D23,'DATOS CENTRALES'!$B$9:$B$25,'DATOS CENTRALES'!$D$9:$D$25,, )</f>
        <v>MT</v>
      </c>
      <c r="G23" s="14">
        <f>_xlfn.XLOOKUP(D23,'DATOS CENTRALES'!$B$9:$B$25,'DATOS CENTRALES'!$C$9:$C$25)</f>
        <v>1912</v>
      </c>
      <c r="H23" s="14">
        <f>+Tabla1[[#This Row],[VOLUMEN VENDIDO]]*Tabla1[[#This Row],[PRECIO UNITARIO (USD)]]</f>
        <v>1384288</v>
      </c>
      <c r="I23" s="15">
        <f>_xlfn.XLOOKUP(C23&amp;"_"&amp;D23, 'DATOS CENTRALES'!$F$9:$F$25, 'DATOS CENTRALES'!$E$9:$E$25, 0, 0)</f>
        <v>1250</v>
      </c>
      <c r="J23" s="14">
        <f>Tabla1[[#This Row],[CV UNITARIO]]*Tabla1[[#This Row],[VOLUMEN VENDIDO]]</f>
        <v>905000</v>
      </c>
      <c r="K23" s="14">
        <f>+Tabla1[[#This Row],[PRECIO UNITARIO (USD)]]-Tabla1[[#This Row],[CV UNITARIO]]</f>
        <v>662</v>
      </c>
      <c r="L23" s="14">
        <f>+Tabla1[[#This Row],[INGRESO BRUTO (USD)]]-Tabla1[[#This Row],[COSTO VARIABLE TOTAL (USD)]]</f>
        <v>479288</v>
      </c>
      <c r="M23" s="24">
        <f>+Tabla1[[#This Row],[MC TOTAL (USD)]]/Tabla1[[#This Row],[INGRESO BRUTO (USD)]]</f>
        <v>0.34623430962343094</v>
      </c>
      <c r="N23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0.13161806351969954</v>
      </c>
      <c r="O23">
        <f>+Tabla1[[#This Row],[COMPLEJIDAD X METAL UNITARIO]]*Tabla1[[#This Row],[VOLUMEN VENDIDO]]</f>
        <v>95.291477988262471</v>
      </c>
    </row>
    <row r="24" spans="1:15" ht="16.5">
      <c r="A24" s="18" t="s">
        <v>55</v>
      </c>
      <c r="B24" s="20" t="s">
        <v>32</v>
      </c>
      <c r="C24" s="21" t="s">
        <v>12</v>
      </c>
      <c r="D24" s="13" t="s">
        <v>15</v>
      </c>
      <c r="E24" s="37">
        <v>680</v>
      </c>
      <c r="F24" s="13" t="str">
        <f>_xlfn.XLOOKUP(D24,'DATOS CENTRALES'!$B$9:$B$25,'DATOS CENTRALES'!$D$9:$D$25,, )</f>
        <v>MT</v>
      </c>
      <c r="G24" s="14">
        <f>_xlfn.XLOOKUP(D24,'DATOS CENTRALES'!$B$9:$B$25,'DATOS CENTRALES'!$C$9:$C$25)</f>
        <v>2844</v>
      </c>
      <c r="H24" s="14">
        <f>+Tabla1[[#This Row],[VOLUMEN VENDIDO]]*Tabla1[[#This Row],[PRECIO UNITARIO (USD)]]</f>
        <v>1933920</v>
      </c>
      <c r="I24" s="14">
        <f>_xlfn.XLOOKUP(C24&amp;"_"&amp;D24, 'DATOS CENTRALES'!$F$9:$F$25, 'DATOS CENTRALES'!$E$9:$E$25, 0, 0)</f>
        <v>1560</v>
      </c>
      <c r="J24" s="14">
        <f>Tabla1[[#This Row],[CV UNITARIO]]*Tabla1[[#This Row],[VOLUMEN VENDIDO]]</f>
        <v>1060800</v>
      </c>
      <c r="K24" s="14">
        <f>+Tabla1[[#This Row],[PRECIO UNITARIO (USD)]]-Tabla1[[#This Row],[CV UNITARIO]]</f>
        <v>1284</v>
      </c>
      <c r="L24" s="14">
        <f>+Tabla1[[#This Row],[INGRESO BRUTO (USD)]]-Tabla1[[#This Row],[COSTO VARIABLE TOTAL (USD)]]</f>
        <v>873120</v>
      </c>
      <c r="M24" s="24">
        <f>+Tabla1[[#This Row],[MC TOTAL (USD)]]/Tabla1[[#This Row],[INGRESO BRUTO (USD)]]</f>
        <v>0.45147679324894513</v>
      </c>
      <c r="N24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0.19577498569562007</v>
      </c>
      <c r="O24">
        <f>+Tabla1[[#This Row],[COMPLEJIDAD X METAL UNITARIO]]*Tabla1[[#This Row],[VOLUMEN VENDIDO]]</f>
        <v>133.12699027302165</v>
      </c>
    </row>
    <row r="25" spans="1:15" ht="16.5">
      <c r="A25" s="19" t="s">
        <v>56</v>
      </c>
      <c r="B25" s="22" t="s">
        <v>34</v>
      </c>
      <c r="C25" s="23" t="s">
        <v>12</v>
      </c>
      <c r="D25" s="13" t="s">
        <v>15</v>
      </c>
      <c r="E25" s="38">
        <v>700</v>
      </c>
      <c r="F25" s="13" t="str">
        <f>_xlfn.XLOOKUP(D25,'DATOS CENTRALES'!$B$9:$B$25,'DATOS CENTRALES'!$D$9:$D$25,, )</f>
        <v>MT</v>
      </c>
      <c r="G25" s="14">
        <f>_xlfn.XLOOKUP(D25,'DATOS CENTRALES'!$B$9:$B$25,'DATOS CENTRALES'!$C$9:$C$25)</f>
        <v>2844</v>
      </c>
      <c r="H25" s="14">
        <f>+Tabla1[[#This Row],[VOLUMEN VENDIDO]]*Tabla1[[#This Row],[PRECIO UNITARIO (USD)]]</f>
        <v>1990800</v>
      </c>
      <c r="I25" s="15">
        <f>_xlfn.XLOOKUP(C25&amp;"_"&amp;D25, 'DATOS CENTRALES'!$F$9:$F$25, 'DATOS CENTRALES'!$E$9:$E$25, 0, 0)</f>
        <v>1560</v>
      </c>
      <c r="J25" s="14">
        <f>Tabla1[[#This Row],[CV UNITARIO]]*Tabla1[[#This Row],[VOLUMEN VENDIDO]]</f>
        <v>1092000</v>
      </c>
      <c r="K25" s="14">
        <f>+Tabla1[[#This Row],[PRECIO UNITARIO (USD)]]-Tabla1[[#This Row],[CV UNITARIO]]</f>
        <v>1284</v>
      </c>
      <c r="L25" s="14">
        <f>+Tabla1[[#This Row],[INGRESO BRUTO (USD)]]-Tabla1[[#This Row],[COSTO VARIABLE TOTAL (USD)]]</f>
        <v>898800</v>
      </c>
      <c r="M25" s="24">
        <f>+Tabla1[[#This Row],[MC TOTAL (USD)]]/Tabla1[[#This Row],[INGRESO BRUTO (USD)]]</f>
        <v>0.45147679324894513</v>
      </c>
      <c r="N25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0.19577498569562007</v>
      </c>
      <c r="O25">
        <f>+Tabla1[[#This Row],[COMPLEJIDAD X METAL UNITARIO]]*Tabla1[[#This Row],[VOLUMEN VENDIDO]]</f>
        <v>137.04248998693404</v>
      </c>
    </row>
    <row r="26" spans="1:15" ht="16.5">
      <c r="A26" s="18" t="s">
        <v>57</v>
      </c>
      <c r="B26" s="20" t="s">
        <v>36</v>
      </c>
      <c r="C26" s="21" t="s">
        <v>12</v>
      </c>
      <c r="D26" s="13" t="s">
        <v>15</v>
      </c>
      <c r="E26" s="37">
        <v>660</v>
      </c>
      <c r="F26" s="13" t="str">
        <f>_xlfn.XLOOKUP(D26,'DATOS CENTRALES'!$B$9:$B$25,'DATOS CENTRALES'!$D$9:$D$25,, )</f>
        <v>MT</v>
      </c>
      <c r="G26" s="14">
        <f>_xlfn.XLOOKUP(D26,'DATOS CENTRALES'!$B$9:$B$25,'DATOS CENTRALES'!$C$9:$C$25)</f>
        <v>2844</v>
      </c>
      <c r="H26" s="14">
        <f>+Tabla1[[#This Row],[VOLUMEN VENDIDO]]*Tabla1[[#This Row],[PRECIO UNITARIO (USD)]]</f>
        <v>1877040</v>
      </c>
      <c r="I26" s="14">
        <f>_xlfn.XLOOKUP(C26&amp;"_"&amp;D26, 'DATOS CENTRALES'!$F$9:$F$25, 'DATOS CENTRALES'!$E$9:$E$25, 0, 0)</f>
        <v>1560</v>
      </c>
      <c r="J26" s="14">
        <f>Tabla1[[#This Row],[CV UNITARIO]]*Tabla1[[#This Row],[VOLUMEN VENDIDO]]</f>
        <v>1029600</v>
      </c>
      <c r="K26" s="14">
        <f>+Tabla1[[#This Row],[PRECIO UNITARIO (USD)]]-Tabla1[[#This Row],[CV UNITARIO]]</f>
        <v>1284</v>
      </c>
      <c r="L26" s="14">
        <f>+Tabla1[[#This Row],[INGRESO BRUTO (USD)]]-Tabla1[[#This Row],[COSTO VARIABLE TOTAL (USD)]]</f>
        <v>847440</v>
      </c>
      <c r="M26" s="24">
        <f>+Tabla1[[#This Row],[MC TOTAL (USD)]]/Tabla1[[#This Row],[INGRESO BRUTO (USD)]]</f>
        <v>0.45147679324894513</v>
      </c>
      <c r="N26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0.19577498569562005</v>
      </c>
      <c r="O26">
        <f>+Tabla1[[#This Row],[COMPLEJIDAD X METAL UNITARIO]]*Tabla1[[#This Row],[VOLUMEN VENDIDO]]</f>
        <v>129.21149055910922</v>
      </c>
    </row>
    <row r="27" spans="1:15" ht="16.5">
      <c r="A27" s="19" t="s">
        <v>58</v>
      </c>
      <c r="B27" s="22" t="s">
        <v>38</v>
      </c>
      <c r="C27" s="23" t="s">
        <v>12</v>
      </c>
      <c r="D27" s="13" t="s">
        <v>15</v>
      </c>
      <c r="E27" s="38">
        <v>741</v>
      </c>
      <c r="F27" s="13" t="str">
        <f>_xlfn.XLOOKUP(D27,'DATOS CENTRALES'!$B$9:$B$25,'DATOS CENTRALES'!$D$9:$D$25,, )</f>
        <v>MT</v>
      </c>
      <c r="G27" s="14">
        <f>_xlfn.XLOOKUP(D27,'DATOS CENTRALES'!$B$9:$B$25,'DATOS CENTRALES'!$C$9:$C$25)</f>
        <v>2844</v>
      </c>
      <c r="H27" s="14">
        <f>+Tabla1[[#This Row],[VOLUMEN VENDIDO]]*Tabla1[[#This Row],[PRECIO UNITARIO (USD)]]</f>
        <v>2107404</v>
      </c>
      <c r="I27" s="15">
        <f>_xlfn.XLOOKUP(C27&amp;"_"&amp;D27, 'DATOS CENTRALES'!$F$9:$F$25, 'DATOS CENTRALES'!$E$9:$E$25, 0, 0)</f>
        <v>1560</v>
      </c>
      <c r="J27" s="14">
        <f>Tabla1[[#This Row],[CV UNITARIO]]*Tabla1[[#This Row],[VOLUMEN VENDIDO]]</f>
        <v>1155960</v>
      </c>
      <c r="K27" s="14">
        <f>+Tabla1[[#This Row],[PRECIO UNITARIO (USD)]]-Tabla1[[#This Row],[CV UNITARIO]]</f>
        <v>1284</v>
      </c>
      <c r="L27" s="14">
        <f>+Tabla1[[#This Row],[INGRESO BRUTO (USD)]]-Tabla1[[#This Row],[COSTO VARIABLE TOTAL (USD)]]</f>
        <v>951444</v>
      </c>
      <c r="M27" s="24">
        <f>+Tabla1[[#This Row],[MC TOTAL (USD)]]/Tabla1[[#This Row],[INGRESO BRUTO (USD)]]</f>
        <v>0.45147679324894513</v>
      </c>
      <c r="N27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0.19577498569562007</v>
      </c>
      <c r="O27">
        <f>+Tabla1[[#This Row],[COMPLEJIDAD X METAL UNITARIO]]*Tabla1[[#This Row],[VOLUMEN VENDIDO]]</f>
        <v>145.06926440045447</v>
      </c>
    </row>
    <row r="28" spans="1:15" ht="16.5">
      <c r="A28" s="18" t="s">
        <v>59</v>
      </c>
      <c r="B28" s="20" t="s">
        <v>32</v>
      </c>
      <c r="C28" s="21" t="s">
        <v>16</v>
      </c>
      <c r="D28" s="13" t="s">
        <v>11</v>
      </c>
      <c r="E28" s="37">
        <v>2750000</v>
      </c>
      <c r="F28" s="13" t="str">
        <f>_xlfn.XLOOKUP(D28,'DATOS CENTRALES'!$B$9:$B$25,'DATOS CENTRALES'!$D$9:$D$25,, )</f>
        <v>oz</v>
      </c>
      <c r="G28" s="14">
        <f>_xlfn.XLOOKUP(D28,'DATOS CENTRALES'!$B$9:$B$25,'DATOS CENTRALES'!$C$9:$C$25)</f>
        <v>41.87</v>
      </c>
      <c r="H28" s="14">
        <f>+Tabla1[[#This Row],[VOLUMEN VENDIDO]]*Tabla1[[#This Row],[PRECIO UNITARIO (USD)]]</f>
        <v>115142500</v>
      </c>
      <c r="I28" s="14">
        <f>_xlfn.XLOOKUP(C28&amp;"_"&amp;D28, 'DATOS CENTRALES'!$F$9:$F$25, 'DATOS CENTRALES'!$E$9:$E$25, 0, 0)</f>
        <v>15.21</v>
      </c>
      <c r="J28" s="14">
        <f>Tabla1[[#This Row],[CV UNITARIO]]*Tabla1[[#This Row],[VOLUMEN VENDIDO]]</f>
        <v>41827500</v>
      </c>
      <c r="K28" s="14">
        <f>+Tabla1[[#This Row],[PRECIO UNITARIO (USD)]]-Tabla1[[#This Row],[CV UNITARIO]]</f>
        <v>26.659999999999997</v>
      </c>
      <c r="L28" s="14">
        <f>+Tabla1[[#This Row],[INGRESO BRUTO (USD)]]-Tabla1[[#This Row],[COSTO VARIABLE TOTAL (USD)]]</f>
        <v>73315000</v>
      </c>
      <c r="M28" s="24">
        <f>+Tabla1[[#This Row],[MC TOTAL (USD)]]/Tabla1[[#This Row],[INGRESO BRUTO (USD)]]</f>
        <v>0.63673274420826365</v>
      </c>
      <c r="N28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5.9378481386212752E-4</v>
      </c>
      <c r="O28">
        <f>+Tabla1[[#This Row],[COMPLEJIDAD X METAL UNITARIO]]*Tabla1[[#This Row],[VOLUMEN VENDIDO]]</f>
        <v>1632.9082381208507</v>
      </c>
    </row>
    <row r="29" spans="1:15" ht="16.5">
      <c r="A29" s="19" t="s">
        <v>60</v>
      </c>
      <c r="B29" s="22" t="s">
        <v>34</v>
      </c>
      <c r="C29" s="23" t="s">
        <v>16</v>
      </c>
      <c r="D29" s="13" t="s">
        <v>11</v>
      </c>
      <c r="E29" s="38">
        <v>2820000</v>
      </c>
      <c r="F29" s="13" t="str">
        <f>_xlfn.XLOOKUP(D29,'DATOS CENTRALES'!$B$9:$B$25,'DATOS CENTRALES'!$D$9:$D$25,, )</f>
        <v>oz</v>
      </c>
      <c r="G29" s="14">
        <f>_xlfn.XLOOKUP(D29,'DATOS CENTRALES'!$B$9:$B$25,'DATOS CENTRALES'!$C$9:$C$25)</f>
        <v>41.87</v>
      </c>
      <c r="H29" s="14">
        <f>+Tabla1[[#This Row],[VOLUMEN VENDIDO]]*Tabla1[[#This Row],[PRECIO UNITARIO (USD)]]</f>
        <v>118073400</v>
      </c>
      <c r="I29" s="15">
        <f>_xlfn.XLOOKUP(C29&amp;"_"&amp;D29, 'DATOS CENTRALES'!$F$9:$F$25, 'DATOS CENTRALES'!$E$9:$E$25, 0, 0)</f>
        <v>15.21</v>
      </c>
      <c r="J29" s="14">
        <f>Tabla1[[#This Row],[CV UNITARIO]]*Tabla1[[#This Row],[VOLUMEN VENDIDO]]</f>
        <v>42892200</v>
      </c>
      <c r="K29" s="14">
        <f>+Tabla1[[#This Row],[PRECIO UNITARIO (USD)]]-Tabla1[[#This Row],[CV UNITARIO]]</f>
        <v>26.659999999999997</v>
      </c>
      <c r="L29" s="14">
        <f>+Tabla1[[#This Row],[INGRESO BRUTO (USD)]]-Tabla1[[#This Row],[COSTO VARIABLE TOTAL (USD)]]</f>
        <v>75181200</v>
      </c>
      <c r="M29" s="24">
        <f>+Tabla1[[#This Row],[MC TOTAL (USD)]]/Tabla1[[#This Row],[INGRESO BRUTO (USD)]]</f>
        <v>0.63673274420826365</v>
      </c>
      <c r="N29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5.9378481386212752E-4</v>
      </c>
      <c r="O29">
        <f>+Tabla1[[#This Row],[COMPLEJIDAD X METAL UNITARIO]]*Tabla1[[#This Row],[VOLUMEN VENDIDO]]</f>
        <v>1674.4731750911997</v>
      </c>
    </row>
    <row r="30" spans="1:15" ht="16.5">
      <c r="A30" s="18" t="s">
        <v>61</v>
      </c>
      <c r="B30" s="20" t="s">
        <v>36</v>
      </c>
      <c r="C30" s="21" t="s">
        <v>16</v>
      </c>
      <c r="D30" s="13" t="s">
        <v>11</v>
      </c>
      <c r="E30" s="37">
        <v>2740000</v>
      </c>
      <c r="F30" s="13" t="str">
        <f>_xlfn.XLOOKUP(D30,'DATOS CENTRALES'!$B$9:$B$25,'DATOS CENTRALES'!$D$9:$D$25,, )</f>
        <v>oz</v>
      </c>
      <c r="G30" s="14">
        <f>_xlfn.XLOOKUP(D30,'DATOS CENTRALES'!$B$9:$B$25,'DATOS CENTRALES'!$C$9:$C$25)</f>
        <v>41.87</v>
      </c>
      <c r="H30" s="14">
        <f>+Tabla1[[#This Row],[VOLUMEN VENDIDO]]*Tabla1[[#This Row],[PRECIO UNITARIO (USD)]]</f>
        <v>114723800</v>
      </c>
      <c r="I30" s="14">
        <f>_xlfn.XLOOKUP(C30&amp;"_"&amp;D30, 'DATOS CENTRALES'!$F$9:$F$25, 'DATOS CENTRALES'!$E$9:$E$25, 0, 0)</f>
        <v>15.21</v>
      </c>
      <c r="J30" s="14">
        <f>Tabla1[[#This Row],[CV UNITARIO]]*Tabla1[[#This Row],[VOLUMEN VENDIDO]]</f>
        <v>41675400</v>
      </c>
      <c r="K30" s="14">
        <f>+Tabla1[[#This Row],[PRECIO UNITARIO (USD)]]-Tabla1[[#This Row],[CV UNITARIO]]</f>
        <v>26.659999999999997</v>
      </c>
      <c r="L30" s="14">
        <f>+Tabla1[[#This Row],[INGRESO BRUTO (USD)]]-Tabla1[[#This Row],[COSTO VARIABLE TOTAL (USD)]]</f>
        <v>73048400</v>
      </c>
      <c r="M30" s="24">
        <f>+Tabla1[[#This Row],[MC TOTAL (USD)]]/Tabla1[[#This Row],[INGRESO BRUTO (USD)]]</f>
        <v>0.63673274420826365</v>
      </c>
      <c r="N30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5.9378481386212752E-4</v>
      </c>
      <c r="O30">
        <f>+Tabla1[[#This Row],[COMPLEJIDAD X METAL UNITARIO]]*Tabla1[[#This Row],[VOLUMEN VENDIDO]]</f>
        <v>1626.9703899822293</v>
      </c>
    </row>
    <row r="31" spans="1:15" ht="16.5">
      <c r="A31" s="19" t="s">
        <v>62</v>
      </c>
      <c r="B31" s="22" t="s">
        <v>38</v>
      </c>
      <c r="C31" s="23" t="s">
        <v>16</v>
      </c>
      <c r="D31" s="13" t="s">
        <v>11</v>
      </c>
      <c r="E31" s="38">
        <v>2816108</v>
      </c>
      <c r="F31" s="13" t="str">
        <f>_xlfn.XLOOKUP(D31,'DATOS CENTRALES'!$B$9:$B$25,'DATOS CENTRALES'!$D$9:$D$25,, )</f>
        <v>oz</v>
      </c>
      <c r="G31" s="14">
        <f>_xlfn.XLOOKUP(D31,'DATOS CENTRALES'!$B$9:$B$25,'DATOS CENTRALES'!$C$9:$C$25)</f>
        <v>41.87</v>
      </c>
      <c r="H31" s="14">
        <f>+Tabla1[[#This Row],[VOLUMEN VENDIDO]]*Tabla1[[#This Row],[PRECIO UNITARIO (USD)]]</f>
        <v>117910441.95999999</v>
      </c>
      <c r="I31" s="15">
        <f>_xlfn.XLOOKUP(C31&amp;"_"&amp;D31, 'DATOS CENTRALES'!$F$9:$F$25, 'DATOS CENTRALES'!$E$9:$E$25, 0, 0)</f>
        <v>15.21</v>
      </c>
      <c r="J31" s="14">
        <f>Tabla1[[#This Row],[CV UNITARIO]]*Tabla1[[#This Row],[VOLUMEN VENDIDO]]</f>
        <v>42833002.68</v>
      </c>
      <c r="K31" s="14">
        <f>+Tabla1[[#This Row],[PRECIO UNITARIO (USD)]]-Tabla1[[#This Row],[CV UNITARIO]]</f>
        <v>26.659999999999997</v>
      </c>
      <c r="L31" s="14">
        <f>+Tabla1[[#This Row],[INGRESO BRUTO (USD)]]-Tabla1[[#This Row],[COSTO VARIABLE TOTAL (USD)]]</f>
        <v>75077439.280000001</v>
      </c>
      <c r="M31" s="24">
        <f>+Tabla1[[#This Row],[MC TOTAL (USD)]]/Tabla1[[#This Row],[INGRESO BRUTO (USD)]]</f>
        <v>0.63673274420826376</v>
      </c>
      <c r="N31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5.9378481386212752E-4</v>
      </c>
      <c r="O31">
        <f>+Tabla1[[#This Row],[COMPLEJIDAD X METAL UNITARIO]]*Tabla1[[#This Row],[VOLUMEN VENDIDO]]</f>
        <v>1672.1621645956482</v>
      </c>
    </row>
    <row r="32" spans="1:15" ht="16.5">
      <c r="A32" s="18" t="s">
        <v>63</v>
      </c>
      <c r="B32" s="20" t="s">
        <v>32</v>
      </c>
      <c r="C32" s="21" t="s">
        <v>16</v>
      </c>
      <c r="D32" s="13" t="s">
        <v>13</v>
      </c>
      <c r="E32" s="37">
        <v>3950</v>
      </c>
      <c r="F32" s="13" t="str">
        <f>_xlfn.XLOOKUP(D32,'DATOS CENTRALES'!$B$9:$B$25,'DATOS CENTRALES'!$D$9:$D$25,, )</f>
        <v>MT</v>
      </c>
      <c r="G32" s="14">
        <f>_xlfn.XLOOKUP(D32,'DATOS CENTRALES'!$B$9:$B$25,'DATOS CENTRALES'!$C$9:$C$25)</f>
        <v>1912</v>
      </c>
      <c r="H32" s="14">
        <f>+Tabla1[[#This Row],[VOLUMEN VENDIDO]]*Tabla1[[#This Row],[PRECIO UNITARIO (USD)]]</f>
        <v>7552400</v>
      </c>
      <c r="I32" s="14">
        <f>_xlfn.XLOOKUP(C32&amp;"_"&amp;D32, 'DATOS CENTRALES'!$F$9:$F$25, 'DATOS CENTRALES'!$E$9:$E$25, 0, 0)</f>
        <v>582</v>
      </c>
      <c r="J32" s="14">
        <f>Tabla1[[#This Row],[CV UNITARIO]]*Tabla1[[#This Row],[VOLUMEN VENDIDO]]</f>
        <v>2298900</v>
      </c>
      <c r="K32" s="14">
        <f>+Tabla1[[#This Row],[PRECIO UNITARIO (USD)]]-Tabla1[[#This Row],[CV UNITARIO]]</f>
        <v>1330</v>
      </c>
      <c r="L32" s="14">
        <f>+Tabla1[[#This Row],[INGRESO BRUTO (USD)]]-Tabla1[[#This Row],[COSTO VARIABLE TOTAL (USD)]]</f>
        <v>5253500</v>
      </c>
      <c r="M32" s="24">
        <f>+Tabla1[[#This Row],[MC TOTAL (USD)]]/Tabla1[[#This Row],[INGRESO BRUTO (USD)]]</f>
        <v>0.69560669456066948</v>
      </c>
      <c r="N32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2.711527499652228E-2</v>
      </c>
      <c r="O32">
        <f>+Tabla1[[#This Row],[COMPLEJIDAD X METAL UNITARIO]]*Tabla1[[#This Row],[VOLUMEN VENDIDO]]</f>
        <v>107.105336236263</v>
      </c>
    </row>
    <row r="33" spans="1:15" ht="16.5">
      <c r="A33" s="19" t="s">
        <v>64</v>
      </c>
      <c r="B33" s="22" t="s">
        <v>34</v>
      </c>
      <c r="C33" s="23" t="s">
        <v>16</v>
      </c>
      <c r="D33" s="13" t="s">
        <v>13</v>
      </c>
      <c r="E33" s="38">
        <v>4050</v>
      </c>
      <c r="F33" s="13" t="str">
        <f>_xlfn.XLOOKUP(D33,'DATOS CENTRALES'!$B$9:$B$25,'DATOS CENTRALES'!$D$9:$D$25,, )</f>
        <v>MT</v>
      </c>
      <c r="G33" s="14">
        <f>_xlfn.XLOOKUP(D33,'DATOS CENTRALES'!$B$9:$B$25,'DATOS CENTRALES'!$C$9:$C$25)</f>
        <v>1912</v>
      </c>
      <c r="H33" s="14">
        <f>+Tabla1[[#This Row],[VOLUMEN VENDIDO]]*Tabla1[[#This Row],[PRECIO UNITARIO (USD)]]</f>
        <v>7743600</v>
      </c>
      <c r="I33" s="15">
        <f>_xlfn.XLOOKUP(C33&amp;"_"&amp;D33, 'DATOS CENTRALES'!$F$9:$F$25, 'DATOS CENTRALES'!$E$9:$E$25, 0, 0)</f>
        <v>582</v>
      </c>
      <c r="J33" s="14">
        <f>Tabla1[[#This Row],[CV UNITARIO]]*Tabla1[[#This Row],[VOLUMEN VENDIDO]]</f>
        <v>2357100</v>
      </c>
      <c r="K33" s="14">
        <f>+Tabla1[[#This Row],[PRECIO UNITARIO (USD)]]-Tabla1[[#This Row],[CV UNITARIO]]</f>
        <v>1330</v>
      </c>
      <c r="L33" s="14">
        <f>+Tabla1[[#This Row],[INGRESO BRUTO (USD)]]-Tabla1[[#This Row],[COSTO VARIABLE TOTAL (USD)]]</f>
        <v>5386500</v>
      </c>
      <c r="M33" s="24">
        <f>+Tabla1[[#This Row],[MC TOTAL (USD)]]/Tabla1[[#This Row],[INGRESO BRUTO (USD)]]</f>
        <v>0.69560669456066948</v>
      </c>
      <c r="N33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2.711527499652228E-2</v>
      </c>
      <c r="O33">
        <f>+Tabla1[[#This Row],[COMPLEJIDAD X METAL UNITARIO]]*Tabla1[[#This Row],[VOLUMEN VENDIDO]]</f>
        <v>109.81686373591523</v>
      </c>
    </row>
    <row r="34" spans="1:15" ht="16.5">
      <c r="A34" s="18" t="s">
        <v>65</v>
      </c>
      <c r="B34" s="20" t="s">
        <v>36</v>
      </c>
      <c r="C34" s="21" t="s">
        <v>16</v>
      </c>
      <c r="D34" s="13" t="s">
        <v>13</v>
      </c>
      <c r="E34" s="37">
        <v>3980</v>
      </c>
      <c r="F34" s="13" t="str">
        <f>_xlfn.XLOOKUP(D34,'DATOS CENTRALES'!$B$9:$B$25,'DATOS CENTRALES'!$D$9:$D$25,, )</f>
        <v>MT</v>
      </c>
      <c r="G34" s="14">
        <f>_xlfn.XLOOKUP(D34,'DATOS CENTRALES'!$B$9:$B$25,'DATOS CENTRALES'!$C$9:$C$25)</f>
        <v>1912</v>
      </c>
      <c r="H34" s="14">
        <f>+Tabla1[[#This Row],[VOLUMEN VENDIDO]]*Tabla1[[#This Row],[PRECIO UNITARIO (USD)]]</f>
        <v>7609760</v>
      </c>
      <c r="I34" s="14">
        <f>_xlfn.XLOOKUP(C34&amp;"_"&amp;D34, 'DATOS CENTRALES'!$F$9:$F$25, 'DATOS CENTRALES'!$E$9:$E$25, 0, 0)</f>
        <v>582</v>
      </c>
      <c r="J34" s="14">
        <f>Tabla1[[#This Row],[CV UNITARIO]]*Tabla1[[#This Row],[VOLUMEN VENDIDO]]</f>
        <v>2316360</v>
      </c>
      <c r="K34" s="14">
        <f>+Tabla1[[#This Row],[PRECIO UNITARIO (USD)]]-Tabla1[[#This Row],[CV UNITARIO]]</f>
        <v>1330</v>
      </c>
      <c r="L34" s="14">
        <f>+Tabla1[[#This Row],[INGRESO BRUTO (USD)]]-Tabla1[[#This Row],[COSTO VARIABLE TOTAL (USD)]]</f>
        <v>5293400</v>
      </c>
      <c r="M34" s="24">
        <f>+Tabla1[[#This Row],[MC TOTAL (USD)]]/Tabla1[[#This Row],[INGRESO BRUTO (USD)]]</f>
        <v>0.69560669456066948</v>
      </c>
      <c r="N34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2.711527499652228E-2</v>
      </c>
      <c r="O34">
        <f>+Tabla1[[#This Row],[COMPLEJIDAD X METAL UNITARIO]]*Tabla1[[#This Row],[VOLUMEN VENDIDO]]</f>
        <v>107.91879448615867</v>
      </c>
    </row>
    <row r="35" spans="1:15" ht="16.5">
      <c r="A35" s="19" t="s">
        <v>66</v>
      </c>
      <c r="B35" s="22" t="s">
        <v>38</v>
      </c>
      <c r="C35" s="23" t="s">
        <v>16</v>
      </c>
      <c r="D35" s="13" t="s">
        <v>13</v>
      </c>
      <c r="E35" s="38">
        <v>4070</v>
      </c>
      <c r="F35" s="13" t="str">
        <f>_xlfn.XLOOKUP(D35,'DATOS CENTRALES'!$B$9:$B$25,'DATOS CENTRALES'!$D$9:$D$25,, )</f>
        <v>MT</v>
      </c>
      <c r="G35" s="14">
        <f>_xlfn.XLOOKUP(D35,'DATOS CENTRALES'!$B$9:$B$25,'DATOS CENTRALES'!$C$9:$C$25)</f>
        <v>1912</v>
      </c>
      <c r="H35" s="14">
        <f>+Tabla1[[#This Row],[VOLUMEN VENDIDO]]*Tabla1[[#This Row],[PRECIO UNITARIO (USD)]]</f>
        <v>7781840</v>
      </c>
      <c r="I35" s="15">
        <f>_xlfn.XLOOKUP(C35&amp;"_"&amp;D35, 'DATOS CENTRALES'!$F$9:$F$25, 'DATOS CENTRALES'!$E$9:$E$25, 0, 0)</f>
        <v>582</v>
      </c>
      <c r="J35" s="14">
        <f>Tabla1[[#This Row],[CV UNITARIO]]*Tabla1[[#This Row],[VOLUMEN VENDIDO]]</f>
        <v>2368740</v>
      </c>
      <c r="K35" s="14">
        <f>+Tabla1[[#This Row],[PRECIO UNITARIO (USD)]]-Tabla1[[#This Row],[CV UNITARIO]]</f>
        <v>1330</v>
      </c>
      <c r="L35" s="14">
        <f>+Tabla1[[#This Row],[INGRESO BRUTO (USD)]]-Tabla1[[#This Row],[COSTO VARIABLE TOTAL (USD)]]</f>
        <v>5413100</v>
      </c>
      <c r="M35" s="24">
        <f>+Tabla1[[#This Row],[MC TOTAL (USD)]]/Tabla1[[#This Row],[INGRESO BRUTO (USD)]]</f>
        <v>0.69560669456066948</v>
      </c>
      <c r="N35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2.7115274996522276E-2</v>
      </c>
      <c r="O35">
        <f>+Tabla1[[#This Row],[COMPLEJIDAD X METAL UNITARIO]]*Tabla1[[#This Row],[VOLUMEN VENDIDO]]</f>
        <v>110.35916923584567</v>
      </c>
    </row>
    <row r="36" spans="1:15" ht="16.5">
      <c r="A36" s="18" t="s">
        <v>67</v>
      </c>
      <c r="B36" s="20" t="s">
        <v>32</v>
      </c>
      <c r="C36" s="21" t="s">
        <v>16</v>
      </c>
      <c r="D36" s="13" t="s">
        <v>15</v>
      </c>
      <c r="E36" s="37">
        <v>6450</v>
      </c>
      <c r="F36" s="13" t="str">
        <f>_xlfn.XLOOKUP(D36,'DATOS CENTRALES'!$B$9:$B$25,'DATOS CENTRALES'!$D$9:$D$25,, )</f>
        <v>MT</v>
      </c>
      <c r="G36" s="14">
        <f>_xlfn.XLOOKUP(D36,'DATOS CENTRALES'!$B$9:$B$25,'DATOS CENTRALES'!$C$9:$C$25)</f>
        <v>2844</v>
      </c>
      <c r="H36" s="14">
        <f>+Tabla1[[#This Row],[VOLUMEN VENDIDO]]*Tabla1[[#This Row],[PRECIO UNITARIO (USD)]]</f>
        <v>18343800</v>
      </c>
      <c r="I36" s="14">
        <f>_xlfn.XLOOKUP(C36&amp;"_"&amp;D36, 'DATOS CENTRALES'!$F$9:$F$25, 'DATOS CENTRALES'!$E$9:$E$25, 0, 0)</f>
        <v>1126</v>
      </c>
      <c r="J36" s="14">
        <f>Tabla1[[#This Row],[CV UNITARIO]]*Tabla1[[#This Row],[VOLUMEN VENDIDO]]</f>
        <v>7262700</v>
      </c>
      <c r="K36" s="14">
        <f>+Tabla1[[#This Row],[PRECIO UNITARIO (USD)]]-Tabla1[[#This Row],[CV UNITARIO]]</f>
        <v>1718</v>
      </c>
      <c r="L36" s="14">
        <f>+Tabla1[[#This Row],[INGRESO BRUTO (USD)]]-Tabla1[[#This Row],[COSTO VARIABLE TOTAL (USD)]]</f>
        <v>11081100</v>
      </c>
      <c r="M36" s="24">
        <f>+Tabla1[[#This Row],[MC TOTAL (USD)]]/Tabla1[[#This Row],[INGRESO BRUTO (USD)]]</f>
        <v>0.6040787623066104</v>
      </c>
      <c r="N36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4.0332553394408659E-2</v>
      </c>
      <c r="O36">
        <f>+Tabla1[[#This Row],[COMPLEJIDAD X METAL UNITARIO]]*Tabla1[[#This Row],[VOLUMEN VENDIDO]]</f>
        <v>260.14496939393587</v>
      </c>
    </row>
    <row r="37" spans="1:15" ht="16.5">
      <c r="A37" s="19" t="s">
        <v>68</v>
      </c>
      <c r="B37" s="22" t="s">
        <v>34</v>
      </c>
      <c r="C37" s="23" t="s">
        <v>16</v>
      </c>
      <c r="D37" s="13" t="s">
        <v>15</v>
      </c>
      <c r="E37" s="38">
        <v>6650</v>
      </c>
      <c r="F37" s="13" t="str">
        <f>_xlfn.XLOOKUP(D37,'DATOS CENTRALES'!$B$9:$B$25,'DATOS CENTRALES'!$D$9:$D$25,, )</f>
        <v>MT</v>
      </c>
      <c r="G37" s="14">
        <f>_xlfn.XLOOKUP(D37,'DATOS CENTRALES'!$B$9:$B$25,'DATOS CENTRALES'!$C$9:$C$25)</f>
        <v>2844</v>
      </c>
      <c r="H37" s="14">
        <f>+Tabla1[[#This Row],[VOLUMEN VENDIDO]]*Tabla1[[#This Row],[PRECIO UNITARIO (USD)]]</f>
        <v>18912600</v>
      </c>
      <c r="I37" s="15">
        <f>_xlfn.XLOOKUP(C37&amp;"_"&amp;D37, 'DATOS CENTRALES'!$F$9:$F$25, 'DATOS CENTRALES'!$E$9:$E$25, 0, 0)</f>
        <v>1126</v>
      </c>
      <c r="J37" s="14">
        <f>Tabla1[[#This Row],[CV UNITARIO]]*Tabla1[[#This Row],[VOLUMEN VENDIDO]]</f>
        <v>7487900</v>
      </c>
      <c r="K37" s="14">
        <f>+Tabla1[[#This Row],[PRECIO UNITARIO (USD)]]-Tabla1[[#This Row],[CV UNITARIO]]</f>
        <v>1718</v>
      </c>
      <c r="L37" s="14">
        <f>+Tabla1[[#This Row],[INGRESO BRUTO (USD)]]-Tabla1[[#This Row],[COSTO VARIABLE TOTAL (USD)]]</f>
        <v>11424700</v>
      </c>
      <c r="M37" s="24">
        <f>+Tabla1[[#This Row],[MC TOTAL (USD)]]/Tabla1[[#This Row],[INGRESO BRUTO (USD)]]</f>
        <v>0.6040787623066104</v>
      </c>
      <c r="N37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4.0332553394408666E-2</v>
      </c>
      <c r="O37">
        <f>+Tabla1[[#This Row],[COMPLEJIDAD X METAL UNITARIO]]*Tabla1[[#This Row],[VOLUMEN VENDIDO]]</f>
        <v>268.21148007281761</v>
      </c>
    </row>
    <row r="38" spans="1:15" ht="16.5">
      <c r="A38" s="18" t="s">
        <v>69</v>
      </c>
      <c r="B38" s="20" t="s">
        <v>36</v>
      </c>
      <c r="C38" s="21" t="s">
        <v>16</v>
      </c>
      <c r="D38" s="13" t="s">
        <v>15</v>
      </c>
      <c r="E38" s="37">
        <v>6480</v>
      </c>
      <c r="F38" s="13" t="str">
        <f>_xlfn.XLOOKUP(D38,'DATOS CENTRALES'!$B$9:$B$25,'DATOS CENTRALES'!$D$9:$D$25,, )</f>
        <v>MT</v>
      </c>
      <c r="G38" s="14">
        <f>_xlfn.XLOOKUP(D38,'DATOS CENTRALES'!$B$9:$B$25,'DATOS CENTRALES'!$C$9:$C$25)</f>
        <v>2844</v>
      </c>
      <c r="H38" s="14">
        <f>+Tabla1[[#This Row],[VOLUMEN VENDIDO]]*Tabla1[[#This Row],[PRECIO UNITARIO (USD)]]</f>
        <v>18429120</v>
      </c>
      <c r="I38" s="14">
        <f>_xlfn.XLOOKUP(C38&amp;"_"&amp;D38, 'DATOS CENTRALES'!$F$9:$F$25, 'DATOS CENTRALES'!$E$9:$E$25, 0, 0)</f>
        <v>1126</v>
      </c>
      <c r="J38" s="14">
        <f>Tabla1[[#This Row],[CV UNITARIO]]*Tabla1[[#This Row],[VOLUMEN VENDIDO]]</f>
        <v>7296480</v>
      </c>
      <c r="K38" s="14">
        <f>+Tabla1[[#This Row],[PRECIO UNITARIO (USD)]]-Tabla1[[#This Row],[CV UNITARIO]]</f>
        <v>1718</v>
      </c>
      <c r="L38" s="14">
        <f>+Tabla1[[#This Row],[INGRESO BRUTO (USD)]]-Tabla1[[#This Row],[COSTO VARIABLE TOTAL (USD)]]</f>
        <v>11132640</v>
      </c>
      <c r="M38" s="24">
        <f>+Tabla1[[#This Row],[MC TOTAL (USD)]]/Tabla1[[#This Row],[INGRESO BRUTO (USD)]]</f>
        <v>0.6040787623066104</v>
      </c>
      <c r="N38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4.0332553394408659E-2</v>
      </c>
      <c r="O38">
        <f>+Tabla1[[#This Row],[COMPLEJIDAD X METAL UNITARIO]]*Tabla1[[#This Row],[VOLUMEN VENDIDO]]</f>
        <v>261.35494599576811</v>
      </c>
    </row>
    <row r="39" spans="1:15" ht="16.5">
      <c r="A39" s="19" t="s">
        <v>70</v>
      </c>
      <c r="B39" s="22" t="s">
        <v>38</v>
      </c>
      <c r="C39" s="23" t="s">
        <v>16</v>
      </c>
      <c r="D39" s="13" t="s">
        <v>15</v>
      </c>
      <c r="E39" s="38">
        <v>6659</v>
      </c>
      <c r="F39" s="13" t="str">
        <f>_xlfn.XLOOKUP(D39,'DATOS CENTRALES'!$B$9:$B$25,'DATOS CENTRALES'!$D$9:$D$25,, )</f>
        <v>MT</v>
      </c>
      <c r="G39" s="14">
        <f>_xlfn.XLOOKUP(D39,'DATOS CENTRALES'!$B$9:$B$25,'DATOS CENTRALES'!$C$9:$C$25)</f>
        <v>2844</v>
      </c>
      <c r="H39" s="14">
        <f>+Tabla1[[#This Row],[VOLUMEN VENDIDO]]*Tabla1[[#This Row],[PRECIO UNITARIO (USD)]]</f>
        <v>18938196</v>
      </c>
      <c r="I39" s="15">
        <f>_xlfn.XLOOKUP(C39&amp;"_"&amp;D39, 'DATOS CENTRALES'!$F$9:$F$25, 'DATOS CENTRALES'!$E$9:$E$25, 0, 0)</f>
        <v>1126</v>
      </c>
      <c r="J39" s="14">
        <f>Tabla1[[#This Row],[CV UNITARIO]]*Tabla1[[#This Row],[VOLUMEN VENDIDO]]</f>
        <v>7498034</v>
      </c>
      <c r="K39" s="14">
        <f>+Tabla1[[#This Row],[PRECIO UNITARIO (USD)]]-Tabla1[[#This Row],[CV UNITARIO]]</f>
        <v>1718</v>
      </c>
      <c r="L39" s="14">
        <f>+Tabla1[[#This Row],[INGRESO BRUTO (USD)]]-Tabla1[[#This Row],[COSTO VARIABLE TOTAL (USD)]]</f>
        <v>11440162</v>
      </c>
      <c r="M39" s="24">
        <f>+Tabla1[[#This Row],[MC TOTAL (USD)]]/Tabla1[[#This Row],[INGRESO BRUTO (USD)]]</f>
        <v>0.6040787623066104</v>
      </c>
      <c r="N39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4.0332553394408666E-2</v>
      </c>
      <c r="O39">
        <f>+Tabla1[[#This Row],[COMPLEJIDAD X METAL UNITARIO]]*Tabla1[[#This Row],[VOLUMEN VENDIDO]]</f>
        <v>268.57447305336729</v>
      </c>
    </row>
    <row r="40" spans="1:15" ht="16.5">
      <c r="A40" s="18" t="s">
        <v>71</v>
      </c>
      <c r="B40" s="20" t="s">
        <v>32</v>
      </c>
      <c r="C40" s="21" t="s">
        <v>17</v>
      </c>
      <c r="D40" s="13" t="s">
        <v>18</v>
      </c>
      <c r="E40" s="37">
        <v>12800</v>
      </c>
      <c r="F40" s="13" t="str">
        <f>_xlfn.XLOOKUP(D40,'DATOS CENTRALES'!$B$9:$B$25,'DATOS CENTRALES'!$D$9:$D$25,, )</f>
        <v>MT</v>
      </c>
      <c r="G40" s="14">
        <f>_xlfn.XLOOKUP(D40,'DATOS CENTRALES'!$B$9:$B$25,'DATOS CENTRALES'!$C$9:$C$25)</f>
        <v>10071</v>
      </c>
      <c r="H40" s="14">
        <f>+Tabla1[[#This Row],[VOLUMEN VENDIDO]]*Tabla1[[#This Row],[PRECIO UNITARIO (USD)]]</f>
        <v>128908800</v>
      </c>
      <c r="I40" s="14">
        <f>_xlfn.XLOOKUP(C40&amp;"_"&amp;D40, 'DATOS CENTRALES'!$F$9:$F$25, 'DATOS CENTRALES'!$E$9:$E$25, 0, 0)</f>
        <v>6435</v>
      </c>
      <c r="J40" s="14">
        <f>Tabla1[[#This Row],[CV UNITARIO]]*Tabla1[[#This Row],[VOLUMEN VENDIDO]]</f>
        <v>82368000</v>
      </c>
      <c r="K40" s="14">
        <f>+Tabla1[[#This Row],[PRECIO UNITARIO (USD)]]-Tabla1[[#This Row],[CV UNITARIO]]</f>
        <v>3636</v>
      </c>
      <c r="L40" s="14">
        <f>+Tabla1[[#This Row],[INGRESO BRUTO (USD)]]-Tabla1[[#This Row],[COSTO VARIABLE TOTAL (USD)]]</f>
        <v>46540800</v>
      </c>
      <c r="M40" s="24">
        <f>+Tabla1[[#This Row],[MC TOTAL (USD)]]/Tabla1[[#This Row],[INGRESO BRUTO (USD)]]</f>
        <v>0.36103663985701517</v>
      </c>
      <c r="N40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0.13883607866238179</v>
      </c>
      <c r="O40">
        <f>+Tabla1[[#This Row],[COMPLEJIDAD X METAL UNITARIO]]*Tabla1[[#This Row],[VOLUMEN VENDIDO]]</f>
        <v>1777.101806878487</v>
      </c>
    </row>
    <row r="41" spans="1:15" ht="16.5">
      <c r="A41" s="19" t="s">
        <v>72</v>
      </c>
      <c r="B41" s="22" t="s">
        <v>34</v>
      </c>
      <c r="C41" s="23" t="s">
        <v>17</v>
      </c>
      <c r="D41" s="13" t="s">
        <v>18</v>
      </c>
      <c r="E41" s="38">
        <v>13100</v>
      </c>
      <c r="F41" s="13" t="str">
        <f>_xlfn.XLOOKUP(D41,'DATOS CENTRALES'!$B$9:$B$25,'DATOS CENTRALES'!$D$9:$D$25,, )</f>
        <v>MT</v>
      </c>
      <c r="G41" s="14">
        <f>_xlfn.XLOOKUP(D41,'DATOS CENTRALES'!$B$9:$B$25,'DATOS CENTRALES'!$C$9:$C$25)</f>
        <v>10071</v>
      </c>
      <c r="H41" s="14">
        <f>+Tabla1[[#This Row],[VOLUMEN VENDIDO]]*Tabla1[[#This Row],[PRECIO UNITARIO (USD)]]</f>
        <v>131930100</v>
      </c>
      <c r="I41" s="15">
        <f>_xlfn.XLOOKUP(C41&amp;"_"&amp;D41, 'DATOS CENTRALES'!$F$9:$F$25, 'DATOS CENTRALES'!$E$9:$E$25, 0, 0)</f>
        <v>6435</v>
      </c>
      <c r="J41" s="14">
        <f>Tabla1[[#This Row],[CV UNITARIO]]*Tabla1[[#This Row],[VOLUMEN VENDIDO]]</f>
        <v>84298500</v>
      </c>
      <c r="K41" s="14">
        <f>+Tabla1[[#This Row],[PRECIO UNITARIO (USD)]]-Tabla1[[#This Row],[CV UNITARIO]]</f>
        <v>3636</v>
      </c>
      <c r="L41" s="14">
        <f>+Tabla1[[#This Row],[INGRESO BRUTO (USD)]]-Tabla1[[#This Row],[COSTO VARIABLE TOTAL (USD)]]</f>
        <v>47631600</v>
      </c>
      <c r="M41" s="24">
        <f>+Tabla1[[#This Row],[MC TOTAL (USD)]]/Tabla1[[#This Row],[INGRESO BRUTO (USD)]]</f>
        <v>0.36103663985701517</v>
      </c>
      <c r="N41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0.13883607866238179</v>
      </c>
      <c r="O41">
        <f>+Tabla1[[#This Row],[COMPLEJIDAD X METAL UNITARIO]]*Tabla1[[#This Row],[VOLUMEN VENDIDO]]</f>
        <v>1818.7526304772014</v>
      </c>
    </row>
    <row r="42" spans="1:15" ht="16.5">
      <c r="A42" s="18" t="s">
        <v>73</v>
      </c>
      <c r="B42" s="20" t="s">
        <v>36</v>
      </c>
      <c r="C42" s="21" t="s">
        <v>17</v>
      </c>
      <c r="D42" s="13" t="s">
        <v>18</v>
      </c>
      <c r="E42" s="37">
        <v>12900</v>
      </c>
      <c r="F42" s="13" t="str">
        <f>_xlfn.XLOOKUP(D42,'DATOS CENTRALES'!$B$9:$B$25,'DATOS CENTRALES'!$D$9:$D$25,, )</f>
        <v>MT</v>
      </c>
      <c r="G42" s="14">
        <f>_xlfn.XLOOKUP(D42,'DATOS CENTRALES'!$B$9:$B$25,'DATOS CENTRALES'!$C$9:$C$25)</f>
        <v>10071</v>
      </c>
      <c r="H42" s="14">
        <f>+Tabla1[[#This Row],[VOLUMEN VENDIDO]]*Tabla1[[#This Row],[PRECIO UNITARIO (USD)]]</f>
        <v>129915900</v>
      </c>
      <c r="I42" s="14">
        <f>_xlfn.XLOOKUP(C42&amp;"_"&amp;D42, 'DATOS CENTRALES'!$F$9:$F$25, 'DATOS CENTRALES'!$E$9:$E$25, 0, 0)</f>
        <v>6435</v>
      </c>
      <c r="J42" s="14">
        <f>Tabla1[[#This Row],[CV UNITARIO]]*Tabla1[[#This Row],[VOLUMEN VENDIDO]]</f>
        <v>83011500</v>
      </c>
      <c r="K42" s="14">
        <f>+Tabla1[[#This Row],[PRECIO UNITARIO (USD)]]-Tabla1[[#This Row],[CV UNITARIO]]</f>
        <v>3636</v>
      </c>
      <c r="L42" s="14">
        <f>+Tabla1[[#This Row],[INGRESO BRUTO (USD)]]-Tabla1[[#This Row],[COSTO VARIABLE TOTAL (USD)]]</f>
        <v>46904400</v>
      </c>
      <c r="M42" s="24">
        <f>+Tabla1[[#This Row],[MC TOTAL (USD)]]/Tabla1[[#This Row],[INGRESO BRUTO (USD)]]</f>
        <v>0.36103663985701517</v>
      </c>
      <c r="N42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0.13883607866238179</v>
      </c>
      <c r="O42">
        <f>+Tabla1[[#This Row],[COMPLEJIDAD X METAL UNITARIO]]*Tabla1[[#This Row],[VOLUMEN VENDIDO]]</f>
        <v>1790.9854147447252</v>
      </c>
    </row>
    <row r="43" spans="1:15" ht="16.5">
      <c r="A43" s="19" t="s">
        <v>74</v>
      </c>
      <c r="B43" s="22" t="s">
        <v>38</v>
      </c>
      <c r="C43" s="23" t="s">
        <v>17</v>
      </c>
      <c r="D43" s="13" t="s">
        <v>18</v>
      </c>
      <c r="E43" s="38">
        <v>13102</v>
      </c>
      <c r="F43" s="13" t="str">
        <f>_xlfn.XLOOKUP(D43,'DATOS CENTRALES'!$B$9:$B$25,'DATOS CENTRALES'!$D$9:$D$25,, )</f>
        <v>MT</v>
      </c>
      <c r="G43" s="14">
        <f>_xlfn.XLOOKUP(D43,'DATOS CENTRALES'!$B$9:$B$25,'DATOS CENTRALES'!$C$9:$C$25)</f>
        <v>10071</v>
      </c>
      <c r="H43" s="14">
        <f>+Tabla1[[#This Row],[VOLUMEN VENDIDO]]*Tabla1[[#This Row],[PRECIO UNITARIO (USD)]]</f>
        <v>131950242</v>
      </c>
      <c r="I43" s="15">
        <f>_xlfn.XLOOKUP(C43&amp;"_"&amp;D43, 'DATOS CENTRALES'!$F$9:$F$25, 'DATOS CENTRALES'!$E$9:$E$25, 0, 0)</f>
        <v>6435</v>
      </c>
      <c r="J43" s="14">
        <f>Tabla1[[#This Row],[CV UNITARIO]]*Tabla1[[#This Row],[VOLUMEN VENDIDO]]</f>
        <v>84311370</v>
      </c>
      <c r="K43" s="14">
        <f>+Tabla1[[#This Row],[PRECIO UNITARIO (USD)]]-Tabla1[[#This Row],[CV UNITARIO]]</f>
        <v>3636</v>
      </c>
      <c r="L43" s="14">
        <f>+Tabla1[[#This Row],[INGRESO BRUTO (USD)]]-Tabla1[[#This Row],[COSTO VARIABLE TOTAL (USD)]]</f>
        <v>47638872</v>
      </c>
      <c r="M43" s="24">
        <f>+Tabla1[[#This Row],[MC TOTAL (USD)]]/Tabla1[[#This Row],[INGRESO BRUTO (USD)]]</f>
        <v>0.36103663985701517</v>
      </c>
      <c r="N43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0.13883607866238179</v>
      </c>
      <c r="O43">
        <f>+Tabla1[[#This Row],[COMPLEJIDAD X METAL UNITARIO]]*Tabla1[[#This Row],[VOLUMEN VENDIDO]]</f>
        <v>1819.0303026345262</v>
      </c>
    </row>
    <row r="44" spans="1:15" ht="16.5">
      <c r="A44" s="18" t="s">
        <v>75</v>
      </c>
      <c r="B44" s="20" t="s">
        <v>32</v>
      </c>
      <c r="C44" s="21" t="s">
        <v>17</v>
      </c>
      <c r="D44" s="13" t="s">
        <v>11</v>
      </c>
      <c r="E44" s="37">
        <v>468000</v>
      </c>
      <c r="F44" s="13" t="str">
        <f>_xlfn.XLOOKUP(D44,'DATOS CENTRALES'!$B$9:$B$25,'DATOS CENTRALES'!$D$9:$D$25,, )</f>
        <v>oz</v>
      </c>
      <c r="G44" s="14">
        <f>_xlfn.XLOOKUP(D44,'DATOS CENTRALES'!$B$9:$B$25,'DATOS CENTRALES'!$C$9:$C$25)</f>
        <v>41.87</v>
      </c>
      <c r="H44" s="14">
        <f>+Tabla1[[#This Row],[VOLUMEN VENDIDO]]*Tabla1[[#This Row],[PRECIO UNITARIO (USD)]]</f>
        <v>19595160</v>
      </c>
      <c r="I44" s="14">
        <f>_xlfn.XLOOKUP(C44&amp;"_"&amp;D44, 'DATOS CENTRALES'!$F$9:$F$25, 'DATOS CENTRALES'!$E$9:$E$25, 0, 0)</f>
        <v>19.07</v>
      </c>
      <c r="J44" s="14">
        <f>Tabla1[[#This Row],[CV UNITARIO]]*Tabla1[[#This Row],[VOLUMEN VENDIDO]]</f>
        <v>8924760</v>
      </c>
      <c r="K44" s="14">
        <f>+Tabla1[[#This Row],[PRECIO UNITARIO (USD)]]-Tabla1[[#This Row],[CV UNITARIO]]</f>
        <v>22.799999999999997</v>
      </c>
      <c r="L44" s="14">
        <f>+Tabla1[[#This Row],[INGRESO BRUTO (USD)]]-Tabla1[[#This Row],[COSTO VARIABLE TOTAL (USD)]]</f>
        <v>10670400</v>
      </c>
      <c r="M44" s="24">
        <f>+Tabla1[[#This Row],[MC TOTAL (USD)]]/Tabla1[[#This Row],[INGRESO BRUTO (USD)]]</f>
        <v>0.54454263195605446</v>
      </c>
      <c r="N44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5.7720848114327535E-4</v>
      </c>
      <c r="O44">
        <f>+Tabla1[[#This Row],[COMPLEJIDAD X METAL UNITARIO]]*Tabla1[[#This Row],[VOLUMEN VENDIDO]]</f>
        <v>270.13356917505286</v>
      </c>
    </row>
    <row r="45" spans="1:15" ht="16.5">
      <c r="A45" s="19" t="s">
        <v>76</v>
      </c>
      <c r="B45" s="22" t="s">
        <v>34</v>
      </c>
      <c r="C45" s="23" t="s">
        <v>17</v>
      </c>
      <c r="D45" s="13" t="s">
        <v>11</v>
      </c>
      <c r="E45" s="38">
        <v>475000</v>
      </c>
      <c r="F45" s="13" t="str">
        <f>_xlfn.XLOOKUP(D45,'DATOS CENTRALES'!$B$9:$B$25,'DATOS CENTRALES'!$D$9:$D$25,, )</f>
        <v>oz</v>
      </c>
      <c r="G45" s="14">
        <f>_xlfn.XLOOKUP(D45,'DATOS CENTRALES'!$B$9:$B$25,'DATOS CENTRALES'!$C$9:$C$25)</f>
        <v>41.87</v>
      </c>
      <c r="H45" s="14">
        <f>+Tabla1[[#This Row],[VOLUMEN VENDIDO]]*Tabla1[[#This Row],[PRECIO UNITARIO (USD)]]</f>
        <v>19888250</v>
      </c>
      <c r="I45" s="15">
        <f>_xlfn.XLOOKUP(C45&amp;"_"&amp;D45, 'DATOS CENTRALES'!$F$9:$F$25, 'DATOS CENTRALES'!$E$9:$E$25, 0, 0)</f>
        <v>19.07</v>
      </c>
      <c r="J45" s="14">
        <f>Tabla1[[#This Row],[CV UNITARIO]]*Tabla1[[#This Row],[VOLUMEN VENDIDO]]</f>
        <v>9058250</v>
      </c>
      <c r="K45" s="14">
        <f>+Tabla1[[#This Row],[PRECIO UNITARIO (USD)]]-Tabla1[[#This Row],[CV UNITARIO]]</f>
        <v>22.799999999999997</v>
      </c>
      <c r="L45" s="14">
        <f>+Tabla1[[#This Row],[INGRESO BRUTO (USD)]]-Tabla1[[#This Row],[COSTO VARIABLE TOTAL (USD)]]</f>
        <v>10830000</v>
      </c>
      <c r="M45" s="24">
        <f>+Tabla1[[#This Row],[MC TOTAL (USD)]]/Tabla1[[#This Row],[INGRESO BRUTO (USD)]]</f>
        <v>0.54454263195605446</v>
      </c>
      <c r="N45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5.7720848114327535E-4</v>
      </c>
      <c r="O45">
        <f>+Tabla1[[#This Row],[COMPLEJIDAD X METAL UNITARIO]]*Tabla1[[#This Row],[VOLUMEN VENDIDO]]</f>
        <v>274.17402854305578</v>
      </c>
    </row>
    <row r="46" spans="1:15" ht="16.5">
      <c r="A46" s="18" t="s">
        <v>77</v>
      </c>
      <c r="B46" s="20" t="s">
        <v>36</v>
      </c>
      <c r="C46" s="21" t="s">
        <v>17</v>
      </c>
      <c r="D46" s="13" t="s">
        <v>11</v>
      </c>
      <c r="E46" s="37">
        <v>470000</v>
      </c>
      <c r="F46" s="13" t="str">
        <f>_xlfn.XLOOKUP(D46,'DATOS CENTRALES'!$B$9:$B$25,'DATOS CENTRALES'!$D$9:$D$25,, )</f>
        <v>oz</v>
      </c>
      <c r="G46" s="14">
        <f>_xlfn.XLOOKUP(D46,'DATOS CENTRALES'!$B$9:$B$25,'DATOS CENTRALES'!$C$9:$C$25)</f>
        <v>41.87</v>
      </c>
      <c r="H46" s="14">
        <f>+Tabla1[[#This Row],[VOLUMEN VENDIDO]]*Tabla1[[#This Row],[PRECIO UNITARIO (USD)]]</f>
        <v>19678900</v>
      </c>
      <c r="I46" s="14">
        <f>_xlfn.XLOOKUP(C46&amp;"_"&amp;D46, 'DATOS CENTRALES'!$F$9:$F$25, 'DATOS CENTRALES'!$E$9:$E$25, 0, 0)</f>
        <v>19.07</v>
      </c>
      <c r="J46" s="14">
        <f>Tabla1[[#This Row],[CV UNITARIO]]*Tabla1[[#This Row],[VOLUMEN VENDIDO]]</f>
        <v>8962900</v>
      </c>
      <c r="K46" s="14">
        <f>+Tabla1[[#This Row],[PRECIO UNITARIO (USD)]]-Tabla1[[#This Row],[CV UNITARIO]]</f>
        <v>22.799999999999997</v>
      </c>
      <c r="L46" s="14">
        <f>+Tabla1[[#This Row],[INGRESO BRUTO (USD)]]-Tabla1[[#This Row],[COSTO VARIABLE TOTAL (USD)]]</f>
        <v>10716000</v>
      </c>
      <c r="M46" s="24">
        <f>+Tabla1[[#This Row],[MC TOTAL (USD)]]/Tabla1[[#This Row],[INGRESO BRUTO (USD)]]</f>
        <v>0.54454263195605446</v>
      </c>
      <c r="N46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5.7720848114327524E-4</v>
      </c>
      <c r="O46">
        <f>+Tabla1[[#This Row],[COMPLEJIDAD X METAL UNITARIO]]*Tabla1[[#This Row],[VOLUMEN VENDIDO]]</f>
        <v>271.28798613733937</v>
      </c>
    </row>
    <row r="47" spans="1:15" ht="16.5">
      <c r="A47" s="19" t="s">
        <v>78</v>
      </c>
      <c r="B47" s="22" t="s">
        <v>38</v>
      </c>
      <c r="C47" s="23" t="s">
        <v>17</v>
      </c>
      <c r="D47" s="13" t="s">
        <v>11</v>
      </c>
      <c r="E47" s="38">
        <v>482554</v>
      </c>
      <c r="F47" s="13" t="str">
        <f>_xlfn.XLOOKUP(D47,'DATOS CENTRALES'!$B$9:$B$25,'DATOS CENTRALES'!$D$9:$D$25,, )</f>
        <v>oz</v>
      </c>
      <c r="G47" s="14">
        <f>_xlfn.XLOOKUP(D47,'DATOS CENTRALES'!$B$9:$B$25,'DATOS CENTRALES'!$C$9:$C$25)</f>
        <v>41.87</v>
      </c>
      <c r="H47" s="14">
        <f>+Tabla1[[#This Row],[VOLUMEN VENDIDO]]*Tabla1[[#This Row],[PRECIO UNITARIO (USD)]]</f>
        <v>20204535.98</v>
      </c>
      <c r="I47" s="15">
        <f>_xlfn.XLOOKUP(C47&amp;"_"&amp;D47, 'DATOS CENTRALES'!$F$9:$F$25, 'DATOS CENTRALES'!$E$9:$E$25, 0, 0)</f>
        <v>19.07</v>
      </c>
      <c r="J47" s="14">
        <f>Tabla1[[#This Row],[CV UNITARIO]]*Tabla1[[#This Row],[VOLUMEN VENDIDO]]</f>
        <v>9202304.7799999993</v>
      </c>
      <c r="K47" s="14">
        <f>+Tabla1[[#This Row],[PRECIO UNITARIO (USD)]]-Tabla1[[#This Row],[CV UNITARIO]]</f>
        <v>22.799999999999997</v>
      </c>
      <c r="L47" s="14">
        <f>+Tabla1[[#This Row],[INGRESO BRUTO (USD)]]-Tabla1[[#This Row],[COSTO VARIABLE TOTAL (USD)]]</f>
        <v>11002231.200000001</v>
      </c>
      <c r="M47" s="24">
        <f>+Tabla1[[#This Row],[MC TOTAL (USD)]]/Tabla1[[#This Row],[INGRESO BRUTO (USD)]]</f>
        <v>0.54454263195605446</v>
      </c>
      <c r="N47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5.7720848114327524E-4</v>
      </c>
      <c r="O47">
        <f>+Tabla1[[#This Row],[COMPLEJIDAD X METAL UNITARIO]]*Tabla1[[#This Row],[VOLUMEN VENDIDO]]</f>
        <v>278.53426140961204</v>
      </c>
    </row>
    <row r="48" spans="1:15" ht="16.5">
      <c r="A48" s="18" t="s">
        <v>79</v>
      </c>
      <c r="B48" s="20" t="s">
        <v>32</v>
      </c>
      <c r="C48" s="21" t="s">
        <v>19</v>
      </c>
      <c r="D48" s="13" t="s">
        <v>11</v>
      </c>
      <c r="E48" s="37">
        <v>338000</v>
      </c>
      <c r="F48" s="13" t="str">
        <f>_xlfn.XLOOKUP(D48,'DATOS CENTRALES'!$B$9:$B$25,'DATOS CENTRALES'!$D$9:$D$25,, )</f>
        <v>oz</v>
      </c>
      <c r="G48" s="14">
        <f>_xlfn.XLOOKUP(D48,'DATOS CENTRALES'!$B$9:$B$25,'DATOS CENTRALES'!$C$9:$C$25)</f>
        <v>41.87</v>
      </c>
      <c r="H48" s="14">
        <f>+Tabla1[[#This Row],[VOLUMEN VENDIDO]]*Tabla1[[#This Row],[PRECIO UNITARIO (USD)]]</f>
        <v>14152060</v>
      </c>
      <c r="I48" s="14">
        <f>_xlfn.XLOOKUP(C48&amp;"_"&amp;D48, 'DATOS CENTRALES'!$F$9:$F$25, 'DATOS CENTRALES'!$E$9:$E$25, 0, 0)</f>
        <v>26.34</v>
      </c>
      <c r="J48" s="14">
        <f>Tabla1[[#This Row],[CV UNITARIO]]*Tabla1[[#This Row],[VOLUMEN VENDIDO]]</f>
        <v>8902920</v>
      </c>
      <c r="K48" s="14">
        <f>+Tabla1[[#This Row],[PRECIO UNITARIO (USD)]]-Tabla1[[#This Row],[CV UNITARIO]]</f>
        <v>15.529999999999998</v>
      </c>
      <c r="L48" s="14">
        <f>+Tabla1[[#This Row],[INGRESO BRUTO (USD)]]-Tabla1[[#This Row],[COSTO VARIABLE TOTAL (USD)]]</f>
        <v>5249140</v>
      </c>
      <c r="M48" s="24">
        <f>+Tabla1[[#This Row],[MC TOTAL (USD)]]/Tabla1[[#This Row],[INGRESO BRUTO (USD)]]</f>
        <v>0.37090995939813709</v>
      </c>
      <c r="N48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3.2438576049156555E-3</v>
      </c>
      <c r="O48">
        <f>+Tabla1[[#This Row],[COMPLEJIDAD X METAL UNITARIO]]*Tabla1[[#This Row],[VOLUMEN VENDIDO]]</f>
        <v>1096.4238704614916</v>
      </c>
    </row>
    <row r="49" spans="1:15" ht="16.5">
      <c r="A49" s="19" t="s">
        <v>80</v>
      </c>
      <c r="B49" s="22" t="s">
        <v>34</v>
      </c>
      <c r="C49" s="23" t="s">
        <v>19</v>
      </c>
      <c r="D49" s="13" t="s">
        <v>11</v>
      </c>
      <c r="E49" s="38">
        <v>345000</v>
      </c>
      <c r="F49" s="13" t="str">
        <f>_xlfn.XLOOKUP(D49,'DATOS CENTRALES'!$B$9:$B$25,'DATOS CENTRALES'!$D$9:$D$25,, )</f>
        <v>oz</v>
      </c>
      <c r="G49" s="14">
        <f>_xlfn.XLOOKUP(D49,'DATOS CENTRALES'!$B$9:$B$25,'DATOS CENTRALES'!$C$9:$C$25)</f>
        <v>41.87</v>
      </c>
      <c r="H49" s="14">
        <f>+Tabla1[[#This Row],[VOLUMEN VENDIDO]]*Tabla1[[#This Row],[PRECIO UNITARIO (USD)]]</f>
        <v>14445150</v>
      </c>
      <c r="I49" s="15">
        <f>_xlfn.XLOOKUP(C49&amp;"_"&amp;D49, 'DATOS CENTRALES'!$F$9:$F$25, 'DATOS CENTRALES'!$E$9:$E$25, 0, 0)</f>
        <v>26.34</v>
      </c>
      <c r="J49" s="14">
        <f>Tabla1[[#This Row],[CV UNITARIO]]*Tabla1[[#This Row],[VOLUMEN VENDIDO]]</f>
        <v>9087300</v>
      </c>
      <c r="K49" s="14">
        <f>+Tabla1[[#This Row],[PRECIO UNITARIO (USD)]]-Tabla1[[#This Row],[CV UNITARIO]]</f>
        <v>15.529999999999998</v>
      </c>
      <c r="L49" s="14">
        <f>+Tabla1[[#This Row],[INGRESO BRUTO (USD)]]-Tabla1[[#This Row],[COSTO VARIABLE TOTAL (USD)]]</f>
        <v>5357850</v>
      </c>
      <c r="M49" s="24">
        <f>+Tabla1[[#This Row],[MC TOTAL (USD)]]/Tabla1[[#This Row],[INGRESO BRUTO (USD)]]</f>
        <v>0.37090995939813709</v>
      </c>
      <c r="N49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3.2438576049156555E-3</v>
      </c>
      <c r="O49">
        <f>+Tabla1[[#This Row],[COMPLEJIDAD X METAL UNITARIO]]*Tabla1[[#This Row],[VOLUMEN VENDIDO]]</f>
        <v>1119.1308736959011</v>
      </c>
    </row>
    <row r="50" spans="1:15" ht="16.5">
      <c r="A50" s="18" t="s">
        <v>81</v>
      </c>
      <c r="B50" s="20" t="s">
        <v>36</v>
      </c>
      <c r="C50" s="21" t="s">
        <v>19</v>
      </c>
      <c r="D50" s="13" t="s">
        <v>11</v>
      </c>
      <c r="E50" s="37">
        <v>339000</v>
      </c>
      <c r="F50" s="13" t="str">
        <f>_xlfn.XLOOKUP(D50,'DATOS CENTRALES'!$B$9:$B$25,'DATOS CENTRALES'!$D$9:$D$25,, )</f>
        <v>oz</v>
      </c>
      <c r="G50" s="14">
        <f>_xlfn.XLOOKUP(D50,'DATOS CENTRALES'!$B$9:$B$25,'DATOS CENTRALES'!$C$9:$C$25)</f>
        <v>41.87</v>
      </c>
      <c r="H50" s="14">
        <f>+Tabla1[[#This Row],[VOLUMEN VENDIDO]]*Tabla1[[#This Row],[PRECIO UNITARIO (USD)]]</f>
        <v>14193930</v>
      </c>
      <c r="I50" s="14">
        <f>_xlfn.XLOOKUP(C50&amp;"_"&amp;D50, 'DATOS CENTRALES'!$F$9:$F$25, 'DATOS CENTRALES'!$E$9:$E$25, 0, 0)</f>
        <v>26.34</v>
      </c>
      <c r="J50" s="14">
        <f>Tabla1[[#This Row],[CV UNITARIO]]*Tabla1[[#This Row],[VOLUMEN VENDIDO]]</f>
        <v>8929260</v>
      </c>
      <c r="K50" s="14">
        <f>+Tabla1[[#This Row],[PRECIO UNITARIO (USD)]]-Tabla1[[#This Row],[CV UNITARIO]]</f>
        <v>15.529999999999998</v>
      </c>
      <c r="L50" s="14">
        <f>+Tabla1[[#This Row],[INGRESO BRUTO (USD)]]-Tabla1[[#This Row],[COSTO VARIABLE TOTAL (USD)]]</f>
        <v>5264670</v>
      </c>
      <c r="M50" s="24">
        <f>+Tabla1[[#This Row],[MC TOTAL (USD)]]/Tabla1[[#This Row],[INGRESO BRUTO (USD)]]</f>
        <v>0.37090995939813709</v>
      </c>
      <c r="N50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3.2438576049156559E-3</v>
      </c>
      <c r="O50">
        <f>+Tabla1[[#This Row],[COMPLEJIDAD X METAL UNITARIO]]*Tabla1[[#This Row],[VOLUMEN VENDIDO]]</f>
        <v>1099.6677280664073</v>
      </c>
    </row>
    <row r="51" spans="1:15" ht="16.5">
      <c r="A51" s="19" t="s">
        <v>82</v>
      </c>
      <c r="B51" s="22" t="s">
        <v>38</v>
      </c>
      <c r="C51" s="23" t="s">
        <v>19</v>
      </c>
      <c r="D51" s="13" t="s">
        <v>11</v>
      </c>
      <c r="E51" s="38">
        <v>347756</v>
      </c>
      <c r="F51" s="13" t="str">
        <f>_xlfn.XLOOKUP(D51,'DATOS CENTRALES'!$B$9:$B$25,'DATOS CENTRALES'!$D$9:$D$25,, )</f>
        <v>oz</v>
      </c>
      <c r="G51" s="14">
        <f>_xlfn.XLOOKUP(D51,'DATOS CENTRALES'!$B$9:$B$25,'DATOS CENTRALES'!$C$9:$C$25)</f>
        <v>41.87</v>
      </c>
      <c r="H51" s="14">
        <f>+Tabla1[[#This Row],[VOLUMEN VENDIDO]]*Tabla1[[#This Row],[PRECIO UNITARIO (USD)]]</f>
        <v>14560543.719999999</v>
      </c>
      <c r="I51" s="15">
        <f>_xlfn.XLOOKUP(C51&amp;"_"&amp;D51, 'DATOS CENTRALES'!$F$9:$F$25, 'DATOS CENTRALES'!$E$9:$E$25, 0, 0)</f>
        <v>26.34</v>
      </c>
      <c r="J51" s="14">
        <f>Tabla1[[#This Row],[CV UNITARIO]]*Tabla1[[#This Row],[VOLUMEN VENDIDO]]</f>
        <v>9159893.0399999991</v>
      </c>
      <c r="K51" s="14">
        <f>+Tabla1[[#This Row],[PRECIO UNITARIO (USD)]]-Tabla1[[#This Row],[CV UNITARIO]]</f>
        <v>15.529999999999998</v>
      </c>
      <c r="L51" s="14">
        <f>+Tabla1[[#This Row],[INGRESO BRUTO (USD)]]-Tabla1[[#This Row],[COSTO VARIABLE TOTAL (USD)]]</f>
        <v>5400650.6799999997</v>
      </c>
      <c r="M51" s="24">
        <f>+Tabla1[[#This Row],[MC TOTAL (USD)]]/Tabla1[[#This Row],[INGRESO BRUTO (USD)]]</f>
        <v>0.37090995939813709</v>
      </c>
      <c r="N51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3.2438576049156555E-3</v>
      </c>
      <c r="O51">
        <f>+Tabla1[[#This Row],[COMPLEJIDAD X METAL UNITARIO]]*Tabla1[[#This Row],[VOLUMEN VENDIDO]]</f>
        <v>1128.0709452550486</v>
      </c>
    </row>
    <row r="52" spans="1:15" ht="16.5">
      <c r="A52" s="18" t="s">
        <v>83</v>
      </c>
      <c r="B52" s="20" t="s">
        <v>32</v>
      </c>
      <c r="C52" s="21" t="s">
        <v>19</v>
      </c>
      <c r="D52" s="13" t="s">
        <v>9</v>
      </c>
      <c r="E52" s="37">
        <v>2100</v>
      </c>
      <c r="F52" s="13" t="str">
        <f>_xlfn.XLOOKUP(D52,'DATOS CENTRALES'!$B$9:$B$25,'DATOS CENTRALES'!$D$9:$D$25,, )</f>
        <v>oz</v>
      </c>
      <c r="G52" s="14">
        <f>_xlfn.XLOOKUP(D52,'DATOS CENTRALES'!$B$9:$B$25,'DATOS CENTRALES'!$C$9:$C$25)</f>
        <v>3547</v>
      </c>
      <c r="H52" s="14">
        <f>+Tabla1[[#This Row],[VOLUMEN VENDIDO]]*Tabla1[[#This Row],[PRECIO UNITARIO (USD)]]</f>
        <v>7448700</v>
      </c>
      <c r="I52" s="14">
        <f>_xlfn.XLOOKUP(C52&amp;"_"&amp;D52, 'DATOS CENTRALES'!$F$9:$F$25, 'DATOS CENTRALES'!$E$9:$E$25, 0, 0)</f>
        <v>2180</v>
      </c>
      <c r="J52" s="14">
        <f>Tabla1[[#This Row],[CV UNITARIO]]*Tabla1[[#This Row],[VOLUMEN VENDIDO]]</f>
        <v>4578000</v>
      </c>
      <c r="K52" s="14">
        <f>+Tabla1[[#This Row],[PRECIO UNITARIO (USD)]]-Tabla1[[#This Row],[CV UNITARIO]]</f>
        <v>1367</v>
      </c>
      <c r="L52" s="14">
        <f>+Tabla1[[#This Row],[INGRESO BRUTO (USD)]]-Tabla1[[#This Row],[COSTO VARIABLE TOTAL (USD)]]</f>
        <v>2870700</v>
      </c>
      <c r="M52" s="24">
        <f>+Tabla1[[#This Row],[MC TOTAL (USD)]]/Tabla1[[#This Row],[INGRESO BRUTO (USD)]]</f>
        <v>0.38539610938821539</v>
      </c>
      <c r="N52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0.27480207606008672</v>
      </c>
      <c r="O52">
        <f>+Tabla1[[#This Row],[COMPLEJIDAD X METAL UNITARIO]]*Tabla1[[#This Row],[VOLUMEN VENDIDO]]</f>
        <v>577.08435972618213</v>
      </c>
    </row>
    <row r="53" spans="1:15" ht="16.5">
      <c r="A53" s="19" t="s">
        <v>84</v>
      </c>
      <c r="B53" s="22" t="s">
        <v>34</v>
      </c>
      <c r="C53" s="23" t="s">
        <v>19</v>
      </c>
      <c r="D53" s="13" t="s">
        <v>9</v>
      </c>
      <c r="E53" s="38">
        <v>2200</v>
      </c>
      <c r="F53" s="13" t="str">
        <f>_xlfn.XLOOKUP(D53,'DATOS CENTRALES'!$B$9:$B$25,'DATOS CENTRALES'!$D$9:$D$25,, )</f>
        <v>oz</v>
      </c>
      <c r="G53" s="14">
        <f>_xlfn.XLOOKUP(D53,'DATOS CENTRALES'!$B$9:$B$25,'DATOS CENTRALES'!$C$9:$C$25)</f>
        <v>3547</v>
      </c>
      <c r="H53" s="14">
        <f>+Tabla1[[#This Row],[VOLUMEN VENDIDO]]*Tabla1[[#This Row],[PRECIO UNITARIO (USD)]]</f>
        <v>7803400</v>
      </c>
      <c r="I53" s="15">
        <f>_xlfn.XLOOKUP(C53&amp;"_"&amp;D53, 'DATOS CENTRALES'!$F$9:$F$25, 'DATOS CENTRALES'!$E$9:$E$25, 0, 0)</f>
        <v>2180</v>
      </c>
      <c r="J53" s="14">
        <f>Tabla1[[#This Row],[CV UNITARIO]]*Tabla1[[#This Row],[VOLUMEN VENDIDO]]</f>
        <v>4796000</v>
      </c>
      <c r="K53" s="14">
        <f>+Tabla1[[#This Row],[PRECIO UNITARIO (USD)]]-Tabla1[[#This Row],[CV UNITARIO]]</f>
        <v>1367</v>
      </c>
      <c r="L53" s="14">
        <f>+Tabla1[[#This Row],[INGRESO BRUTO (USD)]]-Tabla1[[#This Row],[COSTO VARIABLE TOTAL (USD)]]</f>
        <v>3007400</v>
      </c>
      <c r="M53" s="24">
        <f>+Tabla1[[#This Row],[MC TOTAL (USD)]]/Tabla1[[#This Row],[INGRESO BRUTO (USD)]]</f>
        <v>0.38539610938821539</v>
      </c>
      <c r="N53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0.27480207606008672</v>
      </c>
      <c r="O53">
        <f>+Tabla1[[#This Row],[COMPLEJIDAD X METAL UNITARIO]]*Tabla1[[#This Row],[VOLUMEN VENDIDO]]</f>
        <v>604.56456733219079</v>
      </c>
    </row>
    <row r="54" spans="1:15" ht="16.5">
      <c r="A54" s="18" t="s">
        <v>85</v>
      </c>
      <c r="B54" s="20" t="s">
        <v>36</v>
      </c>
      <c r="C54" s="21" t="s">
        <v>19</v>
      </c>
      <c r="D54" s="13" t="s">
        <v>9</v>
      </c>
      <c r="E54" s="37">
        <v>2150</v>
      </c>
      <c r="F54" s="13" t="str">
        <f>_xlfn.XLOOKUP(D54,'DATOS CENTRALES'!$B$9:$B$25,'DATOS CENTRALES'!$D$9:$D$25,, )</f>
        <v>oz</v>
      </c>
      <c r="G54" s="14">
        <f>_xlfn.XLOOKUP(D54,'DATOS CENTRALES'!$B$9:$B$25,'DATOS CENTRALES'!$C$9:$C$25)</f>
        <v>3547</v>
      </c>
      <c r="H54" s="14">
        <f>+Tabla1[[#This Row],[VOLUMEN VENDIDO]]*Tabla1[[#This Row],[PRECIO UNITARIO (USD)]]</f>
        <v>7626050</v>
      </c>
      <c r="I54" s="14">
        <f>_xlfn.XLOOKUP(C54&amp;"_"&amp;D54, 'DATOS CENTRALES'!$F$9:$F$25, 'DATOS CENTRALES'!$E$9:$E$25, 0, 0)</f>
        <v>2180</v>
      </c>
      <c r="J54" s="14">
        <f>Tabla1[[#This Row],[CV UNITARIO]]*Tabla1[[#This Row],[VOLUMEN VENDIDO]]</f>
        <v>4687000</v>
      </c>
      <c r="K54" s="14">
        <f>+Tabla1[[#This Row],[PRECIO UNITARIO (USD)]]-Tabla1[[#This Row],[CV UNITARIO]]</f>
        <v>1367</v>
      </c>
      <c r="L54" s="14">
        <f>+Tabla1[[#This Row],[INGRESO BRUTO (USD)]]-Tabla1[[#This Row],[COSTO VARIABLE TOTAL (USD)]]</f>
        <v>2939050</v>
      </c>
      <c r="M54" s="24">
        <f>+Tabla1[[#This Row],[MC TOTAL (USD)]]/Tabla1[[#This Row],[INGRESO BRUTO (USD)]]</f>
        <v>0.38539610938821539</v>
      </c>
      <c r="N54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0.27480207606008672</v>
      </c>
      <c r="O54">
        <f>+Tabla1[[#This Row],[COMPLEJIDAD X METAL UNITARIO]]*Tabla1[[#This Row],[VOLUMEN VENDIDO]]</f>
        <v>590.82446352918646</v>
      </c>
    </row>
    <row r="55" spans="1:15" ht="16.5">
      <c r="A55" s="19" t="s">
        <v>86</v>
      </c>
      <c r="B55" s="22" t="s">
        <v>38</v>
      </c>
      <c r="C55" s="23" t="s">
        <v>19</v>
      </c>
      <c r="D55" s="13" t="s">
        <v>9</v>
      </c>
      <c r="E55" s="38">
        <v>2219</v>
      </c>
      <c r="F55" s="13" t="str">
        <f>_xlfn.XLOOKUP(D55,'DATOS CENTRALES'!$B$9:$B$25,'DATOS CENTRALES'!$D$9:$D$25,, )</f>
        <v>oz</v>
      </c>
      <c r="G55" s="14">
        <f>_xlfn.XLOOKUP(D55,'DATOS CENTRALES'!$B$9:$B$25,'DATOS CENTRALES'!$C$9:$C$25)</f>
        <v>3547</v>
      </c>
      <c r="H55" s="14">
        <f>+Tabla1[[#This Row],[VOLUMEN VENDIDO]]*Tabla1[[#This Row],[PRECIO UNITARIO (USD)]]</f>
        <v>7870793</v>
      </c>
      <c r="I55" s="15">
        <f>_xlfn.XLOOKUP(C55&amp;"_"&amp;D55, 'DATOS CENTRALES'!$F$9:$F$25, 'DATOS CENTRALES'!$E$9:$E$25, 0, 0)</f>
        <v>2180</v>
      </c>
      <c r="J55" s="14">
        <f>Tabla1[[#This Row],[CV UNITARIO]]*Tabla1[[#This Row],[VOLUMEN VENDIDO]]</f>
        <v>4837420</v>
      </c>
      <c r="K55" s="14">
        <f>+Tabla1[[#This Row],[PRECIO UNITARIO (USD)]]-Tabla1[[#This Row],[CV UNITARIO]]</f>
        <v>1367</v>
      </c>
      <c r="L55" s="14">
        <f>+Tabla1[[#This Row],[INGRESO BRUTO (USD)]]-Tabla1[[#This Row],[COSTO VARIABLE TOTAL (USD)]]</f>
        <v>3033373</v>
      </c>
      <c r="M55" s="24">
        <f>+Tabla1[[#This Row],[MC TOTAL (USD)]]/Tabla1[[#This Row],[INGRESO BRUTO (USD)]]</f>
        <v>0.38539610938821539</v>
      </c>
      <c r="N55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0.27480207606008666</v>
      </c>
      <c r="O55">
        <f>+Tabla1[[#This Row],[COMPLEJIDAD X METAL UNITARIO]]*Tabla1[[#This Row],[VOLUMEN VENDIDO]]</f>
        <v>609.78580677733225</v>
      </c>
    </row>
    <row r="56" spans="1:15" ht="16.5">
      <c r="A56" s="18" t="s">
        <v>87</v>
      </c>
      <c r="B56" s="20" t="s">
        <v>32</v>
      </c>
      <c r="C56" s="21" t="s">
        <v>19</v>
      </c>
      <c r="D56" s="13" t="s">
        <v>13</v>
      </c>
      <c r="E56" s="37">
        <v>165</v>
      </c>
      <c r="F56" s="13" t="str">
        <f>_xlfn.XLOOKUP(D56,'DATOS CENTRALES'!$B$9:$B$25,'DATOS CENTRALES'!$D$9:$D$25,, )</f>
        <v>MT</v>
      </c>
      <c r="G56" s="14">
        <f>_xlfn.XLOOKUP(D56,'DATOS CENTRALES'!$B$9:$B$25,'DATOS CENTRALES'!$C$9:$C$25)</f>
        <v>1912</v>
      </c>
      <c r="H56" s="14">
        <f>+Tabla1[[#This Row],[VOLUMEN VENDIDO]]*Tabla1[[#This Row],[PRECIO UNITARIO (USD)]]</f>
        <v>315480</v>
      </c>
      <c r="I56" s="14">
        <f>_xlfn.XLOOKUP(C56&amp;"_"&amp;D56, 'DATOS CENTRALES'!$F$9:$F$25, 'DATOS CENTRALES'!$E$9:$E$25, 0, 0)</f>
        <v>1250</v>
      </c>
      <c r="J56" s="14">
        <f>Tabla1[[#This Row],[CV UNITARIO]]*Tabla1[[#This Row],[VOLUMEN VENDIDO]]</f>
        <v>206250</v>
      </c>
      <c r="K56" s="14">
        <f>+Tabla1[[#This Row],[PRECIO UNITARIO (USD)]]-Tabla1[[#This Row],[CV UNITARIO]]</f>
        <v>662</v>
      </c>
      <c r="L56" s="14">
        <f>+Tabla1[[#This Row],[INGRESO BRUTO (USD)]]-Tabla1[[#This Row],[COSTO VARIABLE TOTAL (USD)]]</f>
        <v>109230</v>
      </c>
      <c r="M56" s="24">
        <f>+Tabla1[[#This Row],[MC TOTAL (USD)]]/Tabla1[[#This Row],[INGRESO BRUTO (USD)]]</f>
        <v>0.34623430962343094</v>
      </c>
      <c r="N56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0.14813125723904308</v>
      </c>
      <c r="O56">
        <f>+Tabla1[[#This Row],[COMPLEJIDAD X METAL UNITARIO]]*Tabla1[[#This Row],[VOLUMEN VENDIDO]]</f>
        <v>24.441657444442107</v>
      </c>
    </row>
    <row r="57" spans="1:15" ht="16.5">
      <c r="A57" s="19" t="s">
        <v>88</v>
      </c>
      <c r="B57" s="22" t="s">
        <v>34</v>
      </c>
      <c r="C57" s="23" t="s">
        <v>19</v>
      </c>
      <c r="D57" s="13" t="s">
        <v>13</v>
      </c>
      <c r="E57" s="38">
        <v>172</v>
      </c>
      <c r="F57" s="13" t="str">
        <f>_xlfn.XLOOKUP(D57,'DATOS CENTRALES'!$B$9:$B$25,'DATOS CENTRALES'!$D$9:$D$25,, )</f>
        <v>MT</v>
      </c>
      <c r="G57" s="14">
        <f>_xlfn.XLOOKUP(D57,'DATOS CENTRALES'!$B$9:$B$25,'DATOS CENTRALES'!$C$9:$C$25)</f>
        <v>1912</v>
      </c>
      <c r="H57" s="14">
        <f>+Tabla1[[#This Row],[VOLUMEN VENDIDO]]*Tabla1[[#This Row],[PRECIO UNITARIO (USD)]]</f>
        <v>328864</v>
      </c>
      <c r="I57" s="15">
        <f>_xlfn.XLOOKUP(C57&amp;"_"&amp;D57, 'DATOS CENTRALES'!$F$9:$F$25, 'DATOS CENTRALES'!$E$9:$E$25, 0, 0)</f>
        <v>1250</v>
      </c>
      <c r="J57" s="14">
        <f>Tabla1[[#This Row],[CV UNITARIO]]*Tabla1[[#This Row],[VOLUMEN VENDIDO]]</f>
        <v>215000</v>
      </c>
      <c r="K57" s="14">
        <f>+Tabla1[[#This Row],[PRECIO UNITARIO (USD)]]-Tabla1[[#This Row],[CV UNITARIO]]</f>
        <v>662</v>
      </c>
      <c r="L57" s="14">
        <f>+Tabla1[[#This Row],[INGRESO BRUTO (USD)]]-Tabla1[[#This Row],[COSTO VARIABLE TOTAL (USD)]]</f>
        <v>113864</v>
      </c>
      <c r="M57" s="24">
        <f>+Tabla1[[#This Row],[MC TOTAL (USD)]]/Tabla1[[#This Row],[INGRESO BRUTO (USD)]]</f>
        <v>0.34623430962343094</v>
      </c>
      <c r="N57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0.14813125723904308</v>
      </c>
      <c r="O57">
        <f>+Tabla1[[#This Row],[COMPLEJIDAD X METAL UNITARIO]]*Tabla1[[#This Row],[VOLUMEN VENDIDO]]</f>
        <v>25.478576245115409</v>
      </c>
    </row>
    <row r="58" spans="1:15" ht="16.5">
      <c r="A58" s="18" t="s">
        <v>89</v>
      </c>
      <c r="B58" s="20" t="s">
        <v>36</v>
      </c>
      <c r="C58" s="21" t="s">
        <v>19</v>
      </c>
      <c r="D58" s="13" t="s">
        <v>13</v>
      </c>
      <c r="E58" s="37">
        <v>168</v>
      </c>
      <c r="F58" s="13" t="str">
        <f>_xlfn.XLOOKUP(D58,'DATOS CENTRALES'!$B$9:$B$25,'DATOS CENTRALES'!$D$9:$D$25,, )</f>
        <v>MT</v>
      </c>
      <c r="G58" s="14">
        <f>_xlfn.XLOOKUP(D58,'DATOS CENTRALES'!$B$9:$B$25,'DATOS CENTRALES'!$C$9:$C$25)</f>
        <v>1912</v>
      </c>
      <c r="H58" s="14">
        <f>+Tabla1[[#This Row],[VOLUMEN VENDIDO]]*Tabla1[[#This Row],[PRECIO UNITARIO (USD)]]</f>
        <v>321216</v>
      </c>
      <c r="I58" s="14">
        <f>_xlfn.XLOOKUP(C58&amp;"_"&amp;D58, 'DATOS CENTRALES'!$F$9:$F$25, 'DATOS CENTRALES'!$E$9:$E$25, 0, 0)</f>
        <v>1250</v>
      </c>
      <c r="J58" s="14">
        <f>Tabla1[[#This Row],[CV UNITARIO]]*Tabla1[[#This Row],[VOLUMEN VENDIDO]]</f>
        <v>210000</v>
      </c>
      <c r="K58" s="14">
        <f>+Tabla1[[#This Row],[PRECIO UNITARIO (USD)]]-Tabla1[[#This Row],[CV UNITARIO]]</f>
        <v>662</v>
      </c>
      <c r="L58" s="14">
        <f>+Tabla1[[#This Row],[INGRESO BRUTO (USD)]]-Tabla1[[#This Row],[COSTO VARIABLE TOTAL (USD)]]</f>
        <v>111216</v>
      </c>
      <c r="M58" s="24">
        <f>+Tabla1[[#This Row],[MC TOTAL (USD)]]/Tabla1[[#This Row],[INGRESO BRUTO (USD)]]</f>
        <v>0.34623430962343094</v>
      </c>
      <c r="N58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0.14813125723904305</v>
      </c>
      <c r="O58">
        <f>+Tabla1[[#This Row],[COMPLEJIDAD X METAL UNITARIO]]*Tabla1[[#This Row],[VOLUMEN VENDIDO]]</f>
        <v>24.886051216159231</v>
      </c>
    </row>
    <row r="59" spans="1:15" ht="16.5">
      <c r="A59" s="19" t="s">
        <v>90</v>
      </c>
      <c r="B59" s="22" t="s">
        <v>38</v>
      </c>
      <c r="C59" s="23" t="s">
        <v>19</v>
      </c>
      <c r="D59" s="13" t="s">
        <v>13</v>
      </c>
      <c r="E59" s="38">
        <v>174</v>
      </c>
      <c r="F59" s="13" t="str">
        <f>_xlfn.XLOOKUP(D59,'DATOS CENTRALES'!$B$9:$B$25,'DATOS CENTRALES'!$D$9:$D$25,, )</f>
        <v>MT</v>
      </c>
      <c r="G59" s="14">
        <f>_xlfn.XLOOKUP(D59,'DATOS CENTRALES'!$B$9:$B$25,'DATOS CENTRALES'!$C$9:$C$25)</f>
        <v>1912</v>
      </c>
      <c r="H59" s="14">
        <f>+Tabla1[[#This Row],[VOLUMEN VENDIDO]]*Tabla1[[#This Row],[PRECIO UNITARIO (USD)]]</f>
        <v>332688</v>
      </c>
      <c r="I59" s="15">
        <f>_xlfn.XLOOKUP(C59&amp;"_"&amp;D59, 'DATOS CENTRALES'!$F$9:$F$25, 'DATOS CENTRALES'!$E$9:$E$25, 0, 0)</f>
        <v>1250</v>
      </c>
      <c r="J59" s="14">
        <f>Tabla1[[#This Row],[CV UNITARIO]]*Tabla1[[#This Row],[VOLUMEN VENDIDO]]</f>
        <v>217500</v>
      </c>
      <c r="K59" s="14">
        <f>+Tabla1[[#This Row],[PRECIO UNITARIO (USD)]]-Tabla1[[#This Row],[CV UNITARIO]]</f>
        <v>662</v>
      </c>
      <c r="L59" s="14">
        <f>+Tabla1[[#This Row],[INGRESO BRUTO (USD)]]-Tabla1[[#This Row],[COSTO VARIABLE TOTAL (USD)]]</f>
        <v>115188</v>
      </c>
      <c r="M59" s="24">
        <f>+Tabla1[[#This Row],[MC TOTAL (USD)]]/Tabla1[[#This Row],[INGRESO BRUTO (USD)]]</f>
        <v>0.34623430962343094</v>
      </c>
      <c r="N59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0.14813125723904308</v>
      </c>
      <c r="O59">
        <f>+Tabla1[[#This Row],[COMPLEJIDAD X METAL UNITARIO]]*Tabla1[[#This Row],[VOLUMEN VENDIDO]]</f>
        <v>25.774838759593496</v>
      </c>
    </row>
    <row r="60" spans="1:15" ht="16.5">
      <c r="A60" s="18" t="s">
        <v>91</v>
      </c>
      <c r="B60" s="20" t="s">
        <v>32</v>
      </c>
      <c r="C60" s="21" t="s">
        <v>19</v>
      </c>
      <c r="D60" s="13" t="s">
        <v>18</v>
      </c>
      <c r="E60" s="37">
        <v>85</v>
      </c>
      <c r="F60" s="13" t="str">
        <f>_xlfn.XLOOKUP(D60,'DATOS CENTRALES'!$B$9:$B$25,'DATOS CENTRALES'!$D$9:$D$25,, )</f>
        <v>MT</v>
      </c>
      <c r="G60" s="14">
        <f>_xlfn.XLOOKUP(D60,'DATOS CENTRALES'!$B$9:$B$25,'DATOS CENTRALES'!$C$9:$C$25)</f>
        <v>10071</v>
      </c>
      <c r="H60" s="14">
        <f>+Tabla1[[#This Row],[VOLUMEN VENDIDO]]*Tabla1[[#This Row],[PRECIO UNITARIO (USD)]]</f>
        <v>856035</v>
      </c>
      <c r="I60" s="14">
        <f>_xlfn.XLOOKUP(C60&amp;"_"&amp;D60, 'DATOS CENTRALES'!$F$9:$F$25, 'DATOS CENTRALES'!$E$9:$E$25, 0, 0)</f>
        <v>6501</v>
      </c>
      <c r="J60" s="14">
        <f>Tabla1[[#This Row],[CV UNITARIO]]*Tabla1[[#This Row],[VOLUMEN VENDIDO]]</f>
        <v>552585</v>
      </c>
      <c r="K60" s="14">
        <f>+Tabla1[[#This Row],[PRECIO UNITARIO (USD)]]-Tabla1[[#This Row],[CV UNITARIO]]</f>
        <v>3570</v>
      </c>
      <c r="L60" s="14">
        <f>+Tabla1[[#This Row],[INGRESO BRUTO (USD)]]-Tabla1[[#This Row],[COSTO VARIABLE TOTAL (USD)]]</f>
        <v>303450</v>
      </c>
      <c r="M60" s="24">
        <f>+Tabla1[[#This Row],[MC TOTAL (USD)]]/Tabla1[[#This Row],[INGRESO BRUTO (USD)]]</f>
        <v>0.35448316949657432</v>
      </c>
      <c r="N60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0.78024575923347417</v>
      </c>
      <c r="O60">
        <f>+Tabla1[[#This Row],[COMPLEJIDAD X METAL UNITARIO]]*Tabla1[[#This Row],[VOLUMEN VENDIDO]]</f>
        <v>66.320889534845307</v>
      </c>
    </row>
    <row r="61" spans="1:15" ht="16.5">
      <c r="A61" s="19" t="s">
        <v>92</v>
      </c>
      <c r="B61" s="22" t="s">
        <v>34</v>
      </c>
      <c r="C61" s="23" t="s">
        <v>19</v>
      </c>
      <c r="D61" s="13" t="s">
        <v>18</v>
      </c>
      <c r="E61" s="38">
        <v>89</v>
      </c>
      <c r="F61" s="13" t="str">
        <f>_xlfn.XLOOKUP(D61,'DATOS CENTRALES'!$B$9:$B$25,'DATOS CENTRALES'!$D$9:$D$25,, )</f>
        <v>MT</v>
      </c>
      <c r="G61" s="14">
        <f>_xlfn.XLOOKUP(D61,'DATOS CENTRALES'!$B$9:$B$25,'DATOS CENTRALES'!$C$9:$C$25)</f>
        <v>10071</v>
      </c>
      <c r="H61" s="14">
        <f>+Tabla1[[#This Row],[VOLUMEN VENDIDO]]*Tabla1[[#This Row],[PRECIO UNITARIO (USD)]]</f>
        <v>896319</v>
      </c>
      <c r="I61" s="15">
        <f>_xlfn.XLOOKUP(C61&amp;"_"&amp;D61, 'DATOS CENTRALES'!$F$9:$F$25, 'DATOS CENTRALES'!$E$9:$E$25, 0, 0)</f>
        <v>6501</v>
      </c>
      <c r="J61" s="14">
        <f>Tabla1[[#This Row],[CV UNITARIO]]*Tabla1[[#This Row],[VOLUMEN VENDIDO]]</f>
        <v>578589</v>
      </c>
      <c r="K61" s="14">
        <f>+Tabla1[[#This Row],[PRECIO UNITARIO (USD)]]-Tabla1[[#This Row],[CV UNITARIO]]</f>
        <v>3570</v>
      </c>
      <c r="L61" s="14">
        <f>+Tabla1[[#This Row],[INGRESO BRUTO (USD)]]-Tabla1[[#This Row],[COSTO VARIABLE TOTAL (USD)]]</f>
        <v>317730</v>
      </c>
      <c r="M61" s="24">
        <f>+Tabla1[[#This Row],[MC TOTAL (USD)]]/Tabla1[[#This Row],[INGRESO BRUTO (USD)]]</f>
        <v>0.35448316949657432</v>
      </c>
      <c r="N61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0.78024575923347428</v>
      </c>
      <c r="O61">
        <f>+Tabla1[[#This Row],[COMPLEJIDAD X METAL UNITARIO]]*Tabla1[[#This Row],[VOLUMEN VENDIDO]]</f>
        <v>69.441872571779214</v>
      </c>
    </row>
    <row r="62" spans="1:15" ht="16.5">
      <c r="A62" s="18" t="s">
        <v>93</v>
      </c>
      <c r="B62" s="20" t="s">
        <v>36</v>
      </c>
      <c r="C62" s="21" t="s">
        <v>19</v>
      </c>
      <c r="D62" s="13" t="s">
        <v>18</v>
      </c>
      <c r="E62" s="37">
        <v>86</v>
      </c>
      <c r="F62" s="13" t="str">
        <f>_xlfn.XLOOKUP(D62,'DATOS CENTRALES'!$B$9:$B$25,'DATOS CENTRALES'!$D$9:$D$25,, )</f>
        <v>MT</v>
      </c>
      <c r="G62" s="14">
        <f>_xlfn.XLOOKUP(D62,'DATOS CENTRALES'!$B$9:$B$25,'DATOS CENTRALES'!$C$9:$C$25)</f>
        <v>10071</v>
      </c>
      <c r="H62" s="14">
        <f>+Tabla1[[#This Row],[VOLUMEN VENDIDO]]*Tabla1[[#This Row],[PRECIO UNITARIO (USD)]]</f>
        <v>866106</v>
      </c>
      <c r="I62" s="14">
        <f>_xlfn.XLOOKUP(C62&amp;"_"&amp;D62, 'DATOS CENTRALES'!$F$9:$F$25, 'DATOS CENTRALES'!$E$9:$E$25, 0, 0)</f>
        <v>6501</v>
      </c>
      <c r="J62" s="14">
        <f>Tabla1[[#This Row],[CV UNITARIO]]*Tabla1[[#This Row],[VOLUMEN VENDIDO]]</f>
        <v>559086</v>
      </c>
      <c r="K62" s="14">
        <f>+Tabla1[[#This Row],[PRECIO UNITARIO (USD)]]-Tabla1[[#This Row],[CV UNITARIO]]</f>
        <v>3570</v>
      </c>
      <c r="L62" s="14">
        <f>+Tabla1[[#This Row],[INGRESO BRUTO (USD)]]-Tabla1[[#This Row],[COSTO VARIABLE TOTAL (USD)]]</f>
        <v>307020</v>
      </c>
      <c r="M62" s="24">
        <f>+Tabla1[[#This Row],[MC TOTAL (USD)]]/Tabla1[[#This Row],[INGRESO BRUTO (USD)]]</f>
        <v>0.35448316949657432</v>
      </c>
      <c r="N62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0.78024575923347428</v>
      </c>
      <c r="O62">
        <f>+Tabla1[[#This Row],[COMPLEJIDAD X METAL UNITARIO]]*Tabla1[[#This Row],[VOLUMEN VENDIDO]]</f>
        <v>67.101135294078787</v>
      </c>
    </row>
    <row r="63" spans="1:15" ht="16.5">
      <c r="A63" s="19" t="s">
        <v>94</v>
      </c>
      <c r="B63" s="22" t="s">
        <v>38</v>
      </c>
      <c r="C63" s="23" t="s">
        <v>19</v>
      </c>
      <c r="D63" s="13" t="s">
        <v>18</v>
      </c>
      <c r="E63" s="38">
        <v>91</v>
      </c>
      <c r="F63" s="13" t="str">
        <f>_xlfn.XLOOKUP(D63,'DATOS CENTRALES'!$B$9:$B$25,'DATOS CENTRALES'!$D$9:$D$25,, )</f>
        <v>MT</v>
      </c>
      <c r="G63" s="14">
        <f>_xlfn.XLOOKUP(D63,'DATOS CENTRALES'!$B$9:$B$25,'DATOS CENTRALES'!$C$9:$C$25)</f>
        <v>10071</v>
      </c>
      <c r="H63" s="14">
        <f>+Tabla1[[#This Row],[VOLUMEN VENDIDO]]*Tabla1[[#This Row],[PRECIO UNITARIO (USD)]]</f>
        <v>916461</v>
      </c>
      <c r="I63" s="15">
        <f>_xlfn.XLOOKUP(C63&amp;"_"&amp;D63, 'DATOS CENTRALES'!$F$9:$F$25, 'DATOS CENTRALES'!$E$9:$E$25, 0, 0)</f>
        <v>6501</v>
      </c>
      <c r="J63" s="14">
        <f>Tabla1[[#This Row],[CV UNITARIO]]*Tabla1[[#This Row],[VOLUMEN VENDIDO]]</f>
        <v>591591</v>
      </c>
      <c r="K63" s="14">
        <f>+Tabla1[[#This Row],[PRECIO UNITARIO (USD)]]-Tabla1[[#This Row],[CV UNITARIO]]</f>
        <v>3570</v>
      </c>
      <c r="L63" s="14">
        <f>+Tabla1[[#This Row],[INGRESO BRUTO (USD)]]-Tabla1[[#This Row],[COSTO VARIABLE TOTAL (USD)]]</f>
        <v>324870</v>
      </c>
      <c r="M63" s="24">
        <f>+Tabla1[[#This Row],[MC TOTAL (USD)]]/Tabla1[[#This Row],[INGRESO BRUTO (USD)]]</f>
        <v>0.35448316949657432</v>
      </c>
      <c r="N63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0.78024575923347428</v>
      </c>
      <c r="O63">
        <f>+Tabla1[[#This Row],[COMPLEJIDAD X METAL UNITARIO]]*Tabla1[[#This Row],[VOLUMEN VENDIDO]]</f>
        <v>71.002364090246161</v>
      </c>
    </row>
    <row r="64" spans="1:15" ht="16.5">
      <c r="A64" s="18" t="s">
        <v>95</v>
      </c>
      <c r="B64" s="20" t="s">
        <v>32</v>
      </c>
      <c r="C64" s="21" t="s">
        <v>20</v>
      </c>
      <c r="D64" s="13" t="s">
        <v>9</v>
      </c>
      <c r="E64" s="37">
        <v>15800</v>
      </c>
      <c r="F64" s="13" t="str">
        <f>_xlfn.XLOOKUP(D64,'DATOS CENTRALES'!$B$9:$B$25,'DATOS CENTRALES'!$D$9:$D$25,, )</f>
        <v>oz</v>
      </c>
      <c r="G64" s="14">
        <f>_xlfn.XLOOKUP(D64,'DATOS CENTRALES'!$B$9:$B$25,'DATOS CENTRALES'!$C$9:$C$25)</f>
        <v>3547</v>
      </c>
      <c r="H64" s="14">
        <f>+Tabla1[[#This Row],[VOLUMEN VENDIDO]]*Tabla1[[#This Row],[PRECIO UNITARIO (USD)]]</f>
        <v>56042600</v>
      </c>
      <c r="I64" s="14">
        <f>_xlfn.XLOOKUP(C64&amp;"_"&amp;D64, 'DATOS CENTRALES'!$F$9:$F$25, 'DATOS CENTRALES'!$E$9:$E$25, 0, 0)</f>
        <v>1471</v>
      </c>
      <c r="J64" s="14">
        <f>Tabla1[[#This Row],[CV UNITARIO]]*Tabla1[[#This Row],[VOLUMEN VENDIDO]]</f>
        <v>23241800</v>
      </c>
      <c r="K64" s="14">
        <f>+Tabla1[[#This Row],[PRECIO UNITARIO (USD)]]-Tabla1[[#This Row],[CV UNITARIO]]</f>
        <v>2076</v>
      </c>
      <c r="L64" s="14">
        <f>+Tabla1[[#This Row],[INGRESO BRUTO (USD)]]-Tabla1[[#This Row],[COSTO VARIABLE TOTAL (USD)]]</f>
        <v>32800800</v>
      </c>
      <c r="M64" s="24">
        <f>+Tabla1[[#This Row],[MC TOTAL (USD)]]/Tabla1[[#This Row],[INGRESO BRUTO (USD)]]</f>
        <v>0.58528333803213983</v>
      </c>
      <c r="N64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0.12474139889433093</v>
      </c>
      <c r="O64">
        <f>+Tabla1[[#This Row],[COMPLEJIDAD X METAL UNITARIO]]*Tabla1[[#This Row],[VOLUMEN VENDIDO]]</f>
        <v>1970.9141025304286</v>
      </c>
    </row>
    <row r="65" spans="1:15" ht="16.5">
      <c r="A65" s="19" t="s">
        <v>96</v>
      </c>
      <c r="B65" s="22" t="s">
        <v>34</v>
      </c>
      <c r="C65" s="23" t="s">
        <v>20</v>
      </c>
      <c r="D65" s="13" t="s">
        <v>9</v>
      </c>
      <c r="E65" s="38">
        <v>16300</v>
      </c>
      <c r="F65" s="13" t="str">
        <f>_xlfn.XLOOKUP(D65,'DATOS CENTRALES'!$B$9:$B$25,'DATOS CENTRALES'!$D$9:$D$25,, )</f>
        <v>oz</v>
      </c>
      <c r="G65" s="14">
        <f>_xlfn.XLOOKUP(D65,'DATOS CENTRALES'!$B$9:$B$25,'DATOS CENTRALES'!$C$9:$C$25)</f>
        <v>3547</v>
      </c>
      <c r="H65" s="14">
        <f>+Tabla1[[#This Row],[VOLUMEN VENDIDO]]*Tabla1[[#This Row],[PRECIO UNITARIO (USD)]]</f>
        <v>57816100</v>
      </c>
      <c r="I65" s="15">
        <f>_xlfn.XLOOKUP(C65&amp;"_"&amp;D65, 'DATOS CENTRALES'!$F$9:$F$25, 'DATOS CENTRALES'!$E$9:$E$25, 0, 0)</f>
        <v>1471</v>
      </c>
      <c r="J65" s="14">
        <f>Tabla1[[#This Row],[CV UNITARIO]]*Tabla1[[#This Row],[VOLUMEN VENDIDO]]</f>
        <v>23977300</v>
      </c>
      <c r="K65" s="14">
        <f>+Tabla1[[#This Row],[PRECIO UNITARIO (USD)]]-Tabla1[[#This Row],[CV UNITARIO]]</f>
        <v>2076</v>
      </c>
      <c r="L65" s="14">
        <f>+Tabla1[[#This Row],[INGRESO BRUTO (USD)]]-Tabla1[[#This Row],[COSTO VARIABLE TOTAL (USD)]]</f>
        <v>33838800</v>
      </c>
      <c r="M65" s="24">
        <f>+Tabla1[[#This Row],[MC TOTAL (USD)]]/Tabla1[[#This Row],[INGRESO BRUTO (USD)]]</f>
        <v>0.58528333803213983</v>
      </c>
      <c r="N65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0.12474139889433092</v>
      </c>
      <c r="O65">
        <f>+Tabla1[[#This Row],[COMPLEJIDAD X METAL UNITARIO]]*Tabla1[[#This Row],[VOLUMEN VENDIDO]]</f>
        <v>2033.284801977594</v>
      </c>
    </row>
    <row r="66" spans="1:15" ht="16.5">
      <c r="A66" s="18" t="s">
        <v>97</v>
      </c>
      <c r="B66" s="20" t="s">
        <v>36</v>
      </c>
      <c r="C66" s="21" t="s">
        <v>20</v>
      </c>
      <c r="D66" s="13" t="s">
        <v>9</v>
      </c>
      <c r="E66" s="37">
        <v>15900</v>
      </c>
      <c r="F66" s="13" t="str">
        <f>_xlfn.XLOOKUP(D66,'DATOS CENTRALES'!$B$9:$B$25,'DATOS CENTRALES'!$D$9:$D$25,, )</f>
        <v>oz</v>
      </c>
      <c r="G66" s="14">
        <f>_xlfn.XLOOKUP(D66,'DATOS CENTRALES'!$B$9:$B$25,'DATOS CENTRALES'!$C$9:$C$25)</f>
        <v>3547</v>
      </c>
      <c r="H66" s="14">
        <f>+Tabla1[[#This Row],[VOLUMEN VENDIDO]]*Tabla1[[#This Row],[PRECIO UNITARIO (USD)]]</f>
        <v>56397300</v>
      </c>
      <c r="I66" s="14">
        <f>_xlfn.XLOOKUP(C66&amp;"_"&amp;D66, 'DATOS CENTRALES'!$F$9:$F$25, 'DATOS CENTRALES'!$E$9:$E$25, 0, 0)</f>
        <v>1471</v>
      </c>
      <c r="J66" s="14">
        <f>Tabla1[[#This Row],[CV UNITARIO]]*Tabla1[[#This Row],[VOLUMEN VENDIDO]]</f>
        <v>23388900</v>
      </c>
      <c r="K66" s="14">
        <f>+Tabla1[[#This Row],[PRECIO UNITARIO (USD)]]-Tabla1[[#This Row],[CV UNITARIO]]</f>
        <v>2076</v>
      </c>
      <c r="L66" s="14">
        <f>+Tabla1[[#This Row],[INGRESO BRUTO (USD)]]-Tabla1[[#This Row],[COSTO VARIABLE TOTAL (USD)]]</f>
        <v>33008400</v>
      </c>
      <c r="M66" s="24">
        <f>+Tabla1[[#This Row],[MC TOTAL (USD)]]/Tabla1[[#This Row],[INGRESO BRUTO (USD)]]</f>
        <v>0.58528333803213983</v>
      </c>
      <c r="N66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0.12474139889433092</v>
      </c>
      <c r="O66">
        <f>+Tabla1[[#This Row],[COMPLEJIDAD X METAL UNITARIO]]*Tabla1[[#This Row],[VOLUMEN VENDIDO]]</f>
        <v>1983.3882424198616</v>
      </c>
    </row>
    <row r="67" spans="1:15" ht="16.5">
      <c r="A67" s="19" t="s">
        <v>98</v>
      </c>
      <c r="B67" s="22" t="s">
        <v>38</v>
      </c>
      <c r="C67" s="23" t="s">
        <v>20</v>
      </c>
      <c r="D67" s="13" t="s">
        <v>9</v>
      </c>
      <c r="E67" s="38">
        <v>16229</v>
      </c>
      <c r="F67" s="13" t="str">
        <f>_xlfn.XLOOKUP(D67,'DATOS CENTRALES'!$B$9:$B$25,'DATOS CENTRALES'!$D$9:$D$25,, )</f>
        <v>oz</v>
      </c>
      <c r="G67" s="14">
        <f>_xlfn.XLOOKUP(D67,'DATOS CENTRALES'!$B$9:$B$25,'DATOS CENTRALES'!$C$9:$C$25)</f>
        <v>3547</v>
      </c>
      <c r="H67" s="14">
        <f>+Tabla1[[#This Row],[VOLUMEN VENDIDO]]*Tabla1[[#This Row],[PRECIO UNITARIO (USD)]]</f>
        <v>57564263</v>
      </c>
      <c r="I67" s="15">
        <f>_xlfn.XLOOKUP(C67&amp;"_"&amp;D67, 'DATOS CENTRALES'!$F$9:$F$25, 'DATOS CENTRALES'!$E$9:$E$25, 0, 0)</f>
        <v>1471</v>
      </c>
      <c r="J67" s="14">
        <f>Tabla1[[#This Row],[CV UNITARIO]]*Tabla1[[#This Row],[VOLUMEN VENDIDO]]</f>
        <v>23872859</v>
      </c>
      <c r="K67" s="14">
        <f>+Tabla1[[#This Row],[PRECIO UNITARIO (USD)]]-Tabla1[[#This Row],[CV UNITARIO]]</f>
        <v>2076</v>
      </c>
      <c r="L67" s="14">
        <f>+Tabla1[[#This Row],[INGRESO BRUTO (USD)]]-Tabla1[[#This Row],[COSTO VARIABLE TOTAL (USD)]]</f>
        <v>33691404</v>
      </c>
      <c r="M67" s="24">
        <f>+Tabla1[[#This Row],[MC TOTAL (USD)]]/Tabla1[[#This Row],[INGRESO BRUTO (USD)]]</f>
        <v>0.58528333803213983</v>
      </c>
      <c r="N67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0.12474139889433092</v>
      </c>
      <c r="O67">
        <f>+Tabla1[[#This Row],[COMPLEJIDAD X METAL UNITARIO]]*Tabla1[[#This Row],[VOLUMEN VENDIDO]]</f>
        <v>2024.4281626560964</v>
      </c>
    </row>
    <row r="68" spans="1:15" ht="16.5">
      <c r="A68" s="18" t="s">
        <v>99</v>
      </c>
      <c r="B68" s="20" t="s">
        <v>32</v>
      </c>
      <c r="C68" s="21" t="s">
        <v>20</v>
      </c>
      <c r="D68" s="13" t="s">
        <v>11</v>
      </c>
      <c r="E68" s="37">
        <v>81500</v>
      </c>
      <c r="F68" s="13" t="str">
        <f>_xlfn.XLOOKUP(D68,'DATOS CENTRALES'!$B$9:$B$25,'DATOS CENTRALES'!$D$9:$D$25,, )</f>
        <v>oz</v>
      </c>
      <c r="G68" s="14">
        <f>_xlfn.XLOOKUP(D68,'DATOS CENTRALES'!$B$9:$B$25,'DATOS CENTRALES'!$C$9:$C$25)</f>
        <v>41.87</v>
      </c>
      <c r="H68" s="14">
        <f>+Tabla1[[#This Row],[VOLUMEN VENDIDO]]*Tabla1[[#This Row],[PRECIO UNITARIO (USD)]]</f>
        <v>3412405</v>
      </c>
      <c r="I68" s="14">
        <f>_xlfn.XLOOKUP(C68&amp;"_"&amp;D68, 'DATOS CENTRALES'!$F$9:$F$25, 'DATOS CENTRALES'!$E$9:$E$25, 0, 0)</f>
        <v>30.97</v>
      </c>
      <c r="J68" s="14">
        <f>Tabla1[[#This Row],[CV UNITARIO]]*Tabla1[[#This Row],[VOLUMEN VENDIDO]]</f>
        <v>2524055</v>
      </c>
      <c r="K68" s="14">
        <f>+Tabla1[[#This Row],[PRECIO UNITARIO (USD)]]-Tabla1[[#This Row],[CV UNITARIO]]</f>
        <v>10.899999999999999</v>
      </c>
      <c r="L68" s="14">
        <f>+Tabla1[[#This Row],[INGRESO BRUTO (USD)]]-Tabla1[[#This Row],[COSTO VARIABLE TOTAL (USD)]]</f>
        <v>888350</v>
      </c>
      <c r="M68" s="24">
        <f>+Tabla1[[#This Row],[MC TOTAL (USD)]]/Tabla1[[#This Row],[INGRESO BRUTO (USD)]]</f>
        <v>0.26032959159302604</v>
      </c>
      <c r="N68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1.4724900963365198E-3</v>
      </c>
      <c r="O68">
        <f>+Tabla1[[#This Row],[COMPLEJIDAD X METAL UNITARIO]]*Tabla1[[#This Row],[VOLUMEN VENDIDO]]</f>
        <v>120.00794285142636</v>
      </c>
    </row>
    <row r="69" spans="1:15" ht="16.5">
      <c r="A69" s="19" t="s">
        <v>100</v>
      </c>
      <c r="B69" s="22" t="s">
        <v>34</v>
      </c>
      <c r="C69" s="23" t="s">
        <v>20</v>
      </c>
      <c r="D69" s="13" t="s">
        <v>11</v>
      </c>
      <c r="E69" s="38">
        <v>83500</v>
      </c>
      <c r="F69" s="13" t="str">
        <f>_xlfn.XLOOKUP(D69,'DATOS CENTRALES'!$B$9:$B$25,'DATOS CENTRALES'!$D$9:$D$25,, )</f>
        <v>oz</v>
      </c>
      <c r="G69" s="14">
        <f>_xlfn.XLOOKUP(D69,'DATOS CENTRALES'!$B$9:$B$25,'DATOS CENTRALES'!$C$9:$C$25)</f>
        <v>41.87</v>
      </c>
      <c r="H69" s="14">
        <f>+Tabla1[[#This Row],[VOLUMEN VENDIDO]]*Tabla1[[#This Row],[PRECIO UNITARIO (USD)]]</f>
        <v>3496145</v>
      </c>
      <c r="I69" s="15">
        <f>_xlfn.XLOOKUP(C69&amp;"_"&amp;D69, 'DATOS CENTRALES'!$F$9:$F$25, 'DATOS CENTRALES'!$E$9:$E$25, 0, 0)</f>
        <v>30.97</v>
      </c>
      <c r="J69" s="14">
        <f>Tabla1[[#This Row],[CV UNITARIO]]*Tabla1[[#This Row],[VOLUMEN VENDIDO]]</f>
        <v>2585995</v>
      </c>
      <c r="K69" s="14">
        <f>+Tabla1[[#This Row],[PRECIO UNITARIO (USD)]]-Tabla1[[#This Row],[CV UNITARIO]]</f>
        <v>10.899999999999999</v>
      </c>
      <c r="L69" s="14">
        <f>+Tabla1[[#This Row],[INGRESO BRUTO (USD)]]-Tabla1[[#This Row],[COSTO VARIABLE TOTAL (USD)]]</f>
        <v>910150</v>
      </c>
      <c r="M69" s="24">
        <f>+Tabla1[[#This Row],[MC TOTAL (USD)]]/Tabla1[[#This Row],[INGRESO BRUTO (USD)]]</f>
        <v>0.26032959159302604</v>
      </c>
      <c r="N69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1.4724900963365198E-3</v>
      </c>
      <c r="O69">
        <f>+Tabla1[[#This Row],[COMPLEJIDAD X METAL UNITARIO]]*Tabla1[[#This Row],[VOLUMEN VENDIDO]]</f>
        <v>122.95292304409941</v>
      </c>
    </row>
    <row r="70" spans="1:15" ht="16.5">
      <c r="A70" s="18" t="s">
        <v>101</v>
      </c>
      <c r="B70" s="20" t="s">
        <v>36</v>
      </c>
      <c r="C70" s="21" t="s">
        <v>20</v>
      </c>
      <c r="D70" s="13" t="s">
        <v>11</v>
      </c>
      <c r="E70" s="37">
        <v>82000</v>
      </c>
      <c r="F70" s="13" t="str">
        <f>_xlfn.XLOOKUP(D70,'DATOS CENTRALES'!$B$9:$B$25,'DATOS CENTRALES'!$D$9:$D$25,, )</f>
        <v>oz</v>
      </c>
      <c r="G70" s="14">
        <f>_xlfn.XLOOKUP(D70,'DATOS CENTRALES'!$B$9:$B$25,'DATOS CENTRALES'!$C$9:$C$25)</f>
        <v>41.87</v>
      </c>
      <c r="H70" s="14">
        <f>+Tabla1[[#This Row],[VOLUMEN VENDIDO]]*Tabla1[[#This Row],[PRECIO UNITARIO (USD)]]</f>
        <v>3433340</v>
      </c>
      <c r="I70" s="14">
        <f>_xlfn.XLOOKUP(C70&amp;"_"&amp;D70, 'DATOS CENTRALES'!$F$9:$F$25, 'DATOS CENTRALES'!$E$9:$E$25, 0, 0)</f>
        <v>30.97</v>
      </c>
      <c r="J70" s="14">
        <f>Tabla1[[#This Row],[CV UNITARIO]]*Tabla1[[#This Row],[VOLUMEN VENDIDO]]</f>
        <v>2539540</v>
      </c>
      <c r="K70" s="14">
        <f>+Tabla1[[#This Row],[PRECIO UNITARIO (USD)]]-Tabla1[[#This Row],[CV UNITARIO]]</f>
        <v>10.899999999999999</v>
      </c>
      <c r="L70" s="14">
        <f>+Tabla1[[#This Row],[INGRESO BRUTO (USD)]]-Tabla1[[#This Row],[COSTO VARIABLE TOTAL (USD)]]</f>
        <v>893800</v>
      </c>
      <c r="M70" s="24">
        <f>+Tabla1[[#This Row],[MC TOTAL (USD)]]/Tabla1[[#This Row],[INGRESO BRUTO (USD)]]</f>
        <v>0.26032959159302604</v>
      </c>
      <c r="N70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1.4724900963365198E-3</v>
      </c>
      <c r="O70">
        <f>+Tabla1[[#This Row],[COMPLEJIDAD X METAL UNITARIO]]*Tabla1[[#This Row],[VOLUMEN VENDIDO]]</f>
        <v>120.74418789959462</v>
      </c>
    </row>
    <row r="71" spans="1:15" ht="16.5">
      <c r="A71" s="19" t="s">
        <v>102</v>
      </c>
      <c r="B71" s="22" t="s">
        <v>38</v>
      </c>
      <c r="C71" s="23" t="s">
        <v>20</v>
      </c>
      <c r="D71" s="13" t="s">
        <v>11</v>
      </c>
      <c r="E71" s="38">
        <v>84401</v>
      </c>
      <c r="F71" s="13" t="str">
        <f>_xlfn.XLOOKUP(D71,'DATOS CENTRALES'!$B$9:$B$25,'DATOS CENTRALES'!$D$9:$D$25,, )</f>
        <v>oz</v>
      </c>
      <c r="G71" s="14">
        <f>_xlfn.XLOOKUP(D71,'DATOS CENTRALES'!$B$9:$B$25,'DATOS CENTRALES'!$C$9:$C$25)</f>
        <v>41.87</v>
      </c>
      <c r="H71" s="14">
        <f>+Tabla1[[#This Row],[VOLUMEN VENDIDO]]*Tabla1[[#This Row],[PRECIO UNITARIO (USD)]]</f>
        <v>3533869.8699999996</v>
      </c>
      <c r="I71" s="15">
        <f>_xlfn.XLOOKUP(C71&amp;"_"&amp;D71, 'DATOS CENTRALES'!$F$9:$F$25, 'DATOS CENTRALES'!$E$9:$E$25, 0, 0)</f>
        <v>30.97</v>
      </c>
      <c r="J71" s="14">
        <f>Tabla1[[#This Row],[CV UNITARIO]]*Tabla1[[#This Row],[VOLUMEN VENDIDO]]</f>
        <v>2613898.9699999997</v>
      </c>
      <c r="K71" s="14">
        <f>+Tabla1[[#This Row],[PRECIO UNITARIO (USD)]]-Tabla1[[#This Row],[CV UNITARIO]]</f>
        <v>10.899999999999999</v>
      </c>
      <c r="L71" s="14">
        <f>+Tabla1[[#This Row],[INGRESO BRUTO (USD)]]-Tabla1[[#This Row],[COSTO VARIABLE TOTAL (USD)]]</f>
        <v>919970.89999999991</v>
      </c>
      <c r="M71" s="24">
        <f>+Tabla1[[#This Row],[MC TOTAL (USD)]]/Tabla1[[#This Row],[INGRESO BRUTO (USD)]]</f>
        <v>0.26032959159302604</v>
      </c>
      <c r="N71">
        <f>+IFERROR(INDEX('Consolidados x MINERA'!$G$6:$G$11,MATCH(Tabla1[[#This Row],[UNIDAD MINERA]],'Consolidados x MINERA'!$A$6:$A$11,0))*Tabla1[[#This Row],[INGRESO BRUTO (USD)]]/SUMIFS(Tabla1[INGRESO BRUTO (USD)],Tabla1[UNIDAD MINERA],Tabla1[[#This Row],[UNIDAD MINERA]])/Tabla1[[#This Row],[VOLUMEN VENDIDO]],0)</f>
        <v>1.4724900963365196E-3</v>
      </c>
      <c r="O71">
        <f>+Tabla1[[#This Row],[COMPLEJIDAD X METAL UNITARIO]]*Tabla1[[#This Row],[VOLUMEN VENDIDO]]</f>
        <v>124.27963662089859</v>
      </c>
    </row>
  </sheetData>
  <mergeCells count="2">
    <mergeCell ref="A2:M2"/>
    <mergeCell ref="A1:N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showGridLines="0" workbookViewId="0">
      <selection activeCell="I20" sqref="I20"/>
    </sheetView>
  </sheetViews>
  <sheetFormatPr baseColWidth="10" defaultColWidth="8.81640625" defaultRowHeight="14.5"/>
  <cols>
    <col min="1" max="1" width="24" customWidth="1"/>
    <col min="2" max="2" width="26.1796875" customWidth="1"/>
    <col min="3" max="3" width="32.36328125" customWidth="1"/>
    <col min="4" max="4" width="30.81640625" customWidth="1"/>
    <col min="5" max="5" width="25" customWidth="1"/>
    <col min="6" max="6" width="26.453125" customWidth="1"/>
    <col min="7" max="7" width="25" customWidth="1"/>
    <col min="8" max="8" width="27.453125" customWidth="1"/>
    <col min="9" max="10" width="25" customWidth="1"/>
    <col min="11" max="11" width="28.36328125" customWidth="1"/>
    <col min="12" max="12" width="27.36328125" customWidth="1"/>
  </cols>
  <sheetData>
    <row r="1" spans="1:12" ht="21">
      <c r="A1" s="240" t="s">
        <v>149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</row>
    <row r="3" spans="1:12" ht="16.5">
      <c r="A3" s="253" t="s">
        <v>153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</row>
    <row r="5" spans="1:12" ht="33">
      <c r="A5" s="44" t="s">
        <v>23</v>
      </c>
      <c r="B5" s="44" t="s">
        <v>103</v>
      </c>
      <c r="C5" s="44" t="s">
        <v>104</v>
      </c>
      <c r="D5" s="44" t="s">
        <v>105</v>
      </c>
      <c r="E5" s="44" t="s">
        <v>30</v>
      </c>
      <c r="F5" s="44" t="s">
        <v>106</v>
      </c>
      <c r="G5" s="44" t="s">
        <v>107</v>
      </c>
      <c r="H5" s="44" t="s">
        <v>108</v>
      </c>
      <c r="I5" s="44" t="s">
        <v>109</v>
      </c>
      <c r="J5" s="44" t="s">
        <v>110</v>
      </c>
      <c r="K5" s="44" t="s">
        <v>111</v>
      </c>
      <c r="L5" s="44" t="s">
        <v>112</v>
      </c>
    </row>
    <row r="6" spans="1:12" ht="16.5">
      <c r="A6" s="3" t="s">
        <v>8</v>
      </c>
      <c r="B6" s="29">
        <f>SUMIFS(DB_Ventas!$H$4:$H$71, DB_Ventas!$C$4:$C$71, A6)</f>
        <v>198095353.46000001</v>
      </c>
      <c r="C6" s="29">
        <f>SUMIFS(DB_Ventas!$J$4:$J$71, DB_Ventas!$C$4:$C$71, A6)</f>
        <v>87244870</v>
      </c>
      <c r="D6" s="14">
        <f>Tabla2[[#This Row],[INGRESOS CONSOL. (USD)]]-Tabla2[[#This Row],[COSTO VARIABLE CONSOL. (USD)]]</f>
        <v>110850483.46000001</v>
      </c>
      <c r="E6" s="16">
        <f t="shared" ref="E6:E11" si="0">IFERROR(D6/B6, 0)</f>
        <v>0.55958144158279444</v>
      </c>
      <c r="F6" s="133">
        <v>220951</v>
      </c>
      <c r="G6" s="40">
        <v>7500</v>
      </c>
      <c r="H6" s="39">
        <f>(Tabla2[[#This Row],[VOLUMEN MOLIDO (DMT)]]/$F$12)*'DATOS CENTRALES'!$B$5</f>
        <v>4212733.0628195032</v>
      </c>
      <c r="I6" s="42">
        <f>(Tabla2[[#This Row],[HORAS PLANTA (h)]]/$G$12)*'DATOS CENTRALES'!$B$5</f>
        <v>45646008.403361343</v>
      </c>
      <c r="J6" s="30">
        <f>Tabla2[[#This Row],[CF SEGÚN HORAS (USD)]]-Tabla2[[#This Row],[CF SEGÚN VOLUMEN (USD)]]</f>
        <v>41433275.34054184</v>
      </c>
      <c r="K6" s="30">
        <f>+Tabla2[[#This Row],[MARGEN CONTRIB. (MC) (USD)]]-Tabla2[[#This Row],[CF SEGÚN VOLUMEN (USD)]]</f>
        <v>106637750.3971805</v>
      </c>
      <c r="L6" s="30">
        <f>+Tabla2[[#This Row],[MARGEN CONTRIB. (MC) (USD)]]-Tabla2[[#This Row],[CF SEGÚN HORAS (USD)]]</f>
        <v>65204475.056638665</v>
      </c>
    </row>
    <row r="7" spans="1:12" ht="16.5">
      <c r="A7" s="2" t="s">
        <v>12</v>
      </c>
      <c r="B7" s="29">
        <f>SUMIFS(DB_Ventas!$H$4:$H$71, DB_Ventas!$C$4:$C$71, A7)</f>
        <v>116215051.27</v>
      </c>
      <c r="C7" s="29">
        <f>SUMIFS(DB_Ventas!$J$4:$J$71, DB_Ventas!$C$4:$C$71, A7)</f>
        <v>80785443.930000007</v>
      </c>
      <c r="D7" s="14">
        <f>Tabla2[[#This Row],[INGRESOS CONSOL. (USD)]]-Tabla2[[#This Row],[COSTO VARIABLE CONSOL. (USD)]]</f>
        <v>35429607.339999989</v>
      </c>
      <c r="E7" s="17">
        <f t="shared" si="0"/>
        <v>0.30486246792325655</v>
      </c>
      <c r="F7" s="134">
        <v>396958</v>
      </c>
      <c r="G7" s="41">
        <v>8000</v>
      </c>
      <c r="H7" s="39">
        <f>(Tabla2[[#This Row],[VOLUMEN MOLIDO (DMT)]]/$F$12)*'DATOS CENTRALES'!$B$5</f>
        <v>7568547.2849215632</v>
      </c>
      <c r="I7" s="42">
        <f>(Tabla2[[#This Row],[HORAS PLANTA (h)]]/$G$12)*'DATOS CENTRALES'!$B$5</f>
        <v>48689075.630252108</v>
      </c>
      <c r="J7" s="30">
        <f>Tabla2[[#This Row],[CF SEGÚN HORAS (USD)]]-Tabla2[[#This Row],[CF SEGÚN VOLUMEN (USD)]]</f>
        <v>41120528.345330544</v>
      </c>
      <c r="K7" s="30">
        <f>+Tabla2[[#This Row],[MARGEN CONTRIB. (MC) (USD)]]-Tabla2[[#This Row],[CF SEGÚN VOLUMEN (USD)]]</f>
        <v>27861060.055078425</v>
      </c>
      <c r="L7" s="30">
        <f>+Tabla2[[#This Row],[MARGEN CONTRIB. (MC) (USD)]]-Tabla2[[#This Row],[CF SEGÚN HORAS (USD)]]</f>
        <v>-13259468.290252119</v>
      </c>
    </row>
    <row r="8" spans="1:12" ht="16.5">
      <c r="A8" s="3" t="s">
        <v>16</v>
      </c>
      <c r="B8" s="29">
        <f>SUMIFS(DB_Ventas!$H$4:$H$71, DB_Ventas!$C$4:$C$71, A8)</f>
        <v>571161457.96000004</v>
      </c>
      <c r="C8" s="29">
        <f>SUMIFS(DB_Ventas!$J$4:$J$71, DB_Ventas!$C$4:$C$71, A8)</f>
        <v>208114316.68000001</v>
      </c>
      <c r="D8" s="14">
        <f>Tabla2[[#This Row],[INGRESOS CONSOL. (USD)]]-Tabla2[[#This Row],[COSTO VARIABLE CONSOL. (USD)]]</f>
        <v>363047141.28000003</v>
      </c>
      <c r="E8" s="16">
        <f t="shared" si="0"/>
        <v>0.63562962139757195</v>
      </c>
      <c r="F8" s="133">
        <v>1010693</v>
      </c>
      <c r="G8" s="40">
        <v>8100</v>
      </c>
      <c r="H8" s="39">
        <f>(Tabla2[[#This Row],[VOLUMEN MOLIDO (DMT)]]/$F$12)*'DATOS CENTRALES'!$B$5</f>
        <v>19270244.612879019</v>
      </c>
      <c r="I8" s="42">
        <f>(Tabla2[[#This Row],[HORAS PLANTA (h)]]/$G$12)*'DATOS CENTRALES'!$B$5</f>
        <v>49297689.075630255</v>
      </c>
      <c r="J8" s="30">
        <f>Tabla2[[#This Row],[CF SEGÚN HORAS (USD)]]-Tabla2[[#This Row],[CF SEGÚN VOLUMEN (USD)]]</f>
        <v>30027444.462751236</v>
      </c>
      <c r="K8" s="30">
        <f>+Tabla2[[#This Row],[MARGEN CONTRIB. (MC) (USD)]]-Tabla2[[#This Row],[CF SEGÚN VOLUMEN (USD)]]</f>
        <v>343776896.66712099</v>
      </c>
      <c r="L8" s="30">
        <f>+Tabla2[[#This Row],[MARGEN CONTRIB. (MC) (USD)]]-Tabla2[[#This Row],[CF SEGÚN HORAS (USD)]]</f>
        <v>313749452.20436978</v>
      </c>
    </row>
    <row r="9" spans="1:12" ht="16.5">
      <c r="A9" s="2" t="s">
        <v>17</v>
      </c>
      <c r="B9" s="29">
        <f>SUMIFS(DB_Ventas!$H$4:$H$71, DB_Ventas!$C$4:$C$71, A9)</f>
        <v>602071887.98000002</v>
      </c>
      <c r="C9" s="29">
        <f>SUMIFS(DB_Ventas!$J$4:$J$71, DB_Ventas!$C$4:$C$71, A9)</f>
        <v>370137584.77999997</v>
      </c>
      <c r="D9" s="14">
        <f>Tabla2[[#This Row],[INGRESOS CONSOL. (USD)]]-Tabla2[[#This Row],[COSTO VARIABLE CONSOL. (USD)]]</f>
        <v>231934303.20000005</v>
      </c>
      <c r="E9" s="17">
        <f t="shared" si="0"/>
        <v>0.38522692693418792</v>
      </c>
      <c r="F9" s="134">
        <v>4355560</v>
      </c>
      <c r="G9" s="41">
        <v>8300</v>
      </c>
      <c r="H9" s="39">
        <f>(Tabla2[[#This Row],[VOLUMEN MOLIDO (DMT)]]/$F$12)*'DATOS CENTRALES'!$B$5</f>
        <v>83044709.546886489</v>
      </c>
      <c r="I9" s="42">
        <f>(Tabla2[[#This Row],[HORAS PLANTA (h)]]/$G$12)*'DATOS CENTRALES'!$B$5</f>
        <v>50514915.966386549</v>
      </c>
      <c r="J9" s="30">
        <f>Tabla2[[#This Row],[CF SEGÚN HORAS (USD)]]-Tabla2[[#This Row],[CF SEGÚN VOLUMEN (USD)]]</f>
        <v>-32529793.58049994</v>
      </c>
      <c r="K9" s="30">
        <f>+Tabla2[[#This Row],[MARGEN CONTRIB. (MC) (USD)]]-Tabla2[[#This Row],[CF SEGÚN VOLUMEN (USD)]]</f>
        <v>148889593.65311354</v>
      </c>
      <c r="L9" s="30">
        <f>+Tabla2[[#This Row],[MARGEN CONTRIB. (MC) (USD)]]-Tabla2[[#This Row],[CF SEGÚN HORAS (USD)]]</f>
        <v>181419387.23361349</v>
      </c>
    </row>
    <row r="10" spans="1:12" ht="16.5">
      <c r="A10" s="3" t="s">
        <v>19</v>
      </c>
      <c r="B10" s="29">
        <f>SUMIFS(DB_Ventas!$H$4:$H$71, DB_Ventas!$C$4:$C$71, A10)</f>
        <v>92933795.719999999</v>
      </c>
      <c r="C10" s="29">
        <f>SUMIFS(DB_Ventas!$J$4:$J$71, DB_Ventas!$C$4:$C$71, A10)</f>
        <v>58108394.039999999</v>
      </c>
      <c r="D10" s="14">
        <f>Tabla2[[#This Row],[INGRESOS CONSOL. (USD)]]-Tabla2[[#This Row],[COSTO VARIABLE CONSOL. (USD)]]</f>
        <v>34825401.68</v>
      </c>
      <c r="E10" s="16">
        <f t="shared" si="0"/>
        <v>0.37473344772148731</v>
      </c>
      <c r="F10" s="133">
        <v>142191</v>
      </c>
      <c r="G10" s="40">
        <v>7200</v>
      </c>
      <c r="H10" s="39">
        <f>(Tabla2[[#This Row],[VOLUMEN MOLIDO (DMT)]]/$F$12)*'DATOS CENTRALES'!$B$5</f>
        <v>2711065.9238264048</v>
      </c>
      <c r="I10" s="42">
        <f>(Tabla2[[#This Row],[HORAS PLANTA (h)]]/$G$12)*'DATOS CENTRALES'!$B$5</f>
        <v>43820168.067226887</v>
      </c>
      <c r="J10" s="30">
        <f>Tabla2[[#This Row],[CF SEGÚN HORAS (USD)]]-Tabla2[[#This Row],[CF SEGÚN VOLUMEN (USD)]]</f>
        <v>41109102.143400483</v>
      </c>
      <c r="K10" s="30">
        <f>+Tabla2[[#This Row],[MARGEN CONTRIB. (MC) (USD)]]-Tabla2[[#This Row],[CF SEGÚN VOLUMEN (USD)]]</f>
        <v>32114335.756173596</v>
      </c>
      <c r="L10" s="30">
        <f>+Tabla2[[#This Row],[MARGEN CONTRIB. (MC) (USD)]]-Tabla2[[#This Row],[CF SEGÚN HORAS (USD)]]</f>
        <v>-8994766.387226887</v>
      </c>
    </row>
    <row r="11" spans="1:12" ht="16.5">
      <c r="A11" s="2" t="s">
        <v>20</v>
      </c>
      <c r="B11" s="29">
        <f>SUMIFS(DB_Ventas!$H$4:$H$71, DB_Ventas!$C$4:$C$71, A11)</f>
        <v>241696022.87</v>
      </c>
      <c r="C11" s="29">
        <f>SUMIFS(DB_Ventas!$J$4:$J$71, DB_Ventas!$C$4:$C$71, A11)</f>
        <v>104744347.97</v>
      </c>
      <c r="D11" s="14">
        <f>Tabla2[[#This Row],[INGRESOS CONSOL. (USD)]]-Tabla2[[#This Row],[COSTO VARIABLE CONSOL. (USD)]]</f>
        <v>136951674.90000001</v>
      </c>
      <c r="E11" s="17">
        <f t="shared" si="0"/>
        <v>0.56662775528442022</v>
      </c>
      <c r="F11" s="134">
        <v>9067941</v>
      </c>
      <c r="G11" s="41">
        <v>8500</v>
      </c>
      <c r="H11" s="39">
        <f>(Tabla2[[#This Row],[VOLUMEN MOLIDO (DMT)]]/$F$12)*'DATOS CENTRALES'!$B$5</f>
        <v>172892699.56866702</v>
      </c>
      <c r="I11" s="42">
        <f>(Tabla2[[#This Row],[HORAS PLANTA (h)]]/$G$12)*'DATOS CENTRALES'!$B$5</f>
        <v>51732142.857142858</v>
      </c>
      <c r="J11" s="30">
        <f>Tabla2[[#This Row],[CF SEGÚN HORAS (USD)]]-Tabla2[[#This Row],[CF SEGÚN VOLUMEN (USD)]]</f>
        <v>-121160556.71152416</v>
      </c>
      <c r="K11" s="30">
        <f>+Tabla2[[#This Row],[MARGEN CONTRIB. (MC) (USD)]]-Tabla2[[#This Row],[CF SEGÚN VOLUMEN (USD)]]</f>
        <v>-35941024.668667018</v>
      </c>
      <c r="L11" s="30">
        <f>+Tabla2[[#This Row],[MARGEN CONTRIB. (MC) (USD)]]-Tabla2[[#This Row],[CF SEGÚN HORAS (USD)]]</f>
        <v>85219532.04285714</v>
      </c>
    </row>
    <row r="12" spans="1:12" ht="16.5">
      <c r="A12" s="45" t="s">
        <v>113</v>
      </c>
      <c r="B12" s="47">
        <f>SUM(B6:B11)</f>
        <v>1822173569.2600002</v>
      </c>
      <c r="C12" s="47">
        <f>SUM(C6:C11)</f>
        <v>909134957.39999998</v>
      </c>
      <c r="D12" s="47">
        <f>Tabla2[[#This Row],[INGRESOS CONSOL. (USD)]]-Tabla2[[#This Row],[COSTO VARIABLE CONSOL. (USD)]]</f>
        <v>913038611.86000025</v>
      </c>
      <c r="E12" s="48">
        <f>+D12/B12</f>
        <v>0.50107115329896523</v>
      </c>
      <c r="F12" s="46">
        <f t="shared" ref="F12:L12" si="1">SUM(F6:F11)</f>
        <v>15194294</v>
      </c>
      <c r="G12" s="46">
        <f t="shared" si="1"/>
        <v>47600</v>
      </c>
      <c r="H12" s="47">
        <f t="shared" si="1"/>
        <v>289700000</v>
      </c>
      <c r="I12" s="47">
        <f t="shared" si="1"/>
        <v>289700000</v>
      </c>
      <c r="J12" s="49">
        <f>SUM(J6:J11)</f>
        <v>0</v>
      </c>
      <c r="K12" s="47">
        <f t="shared" si="1"/>
        <v>623338611.8599999</v>
      </c>
      <c r="L12" s="47">
        <f t="shared" si="1"/>
        <v>623338611.86000001</v>
      </c>
    </row>
  </sheetData>
  <mergeCells count="2">
    <mergeCell ref="A3:L3"/>
    <mergeCell ref="A1:L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B3:M23"/>
  <sheetViews>
    <sheetView workbookViewId="0">
      <selection activeCell="D11" sqref="D11:F19"/>
    </sheetView>
  </sheetViews>
  <sheetFormatPr baseColWidth="10" defaultRowHeight="14.5"/>
  <cols>
    <col min="2" max="2" width="17.453125" bestFit="1" customWidth="1"/>
    <col min="3" max="3" width="29.453125" customWidth="1"/>
    <col min="4" max="4" width="27.453125" customWidth="1"/>
    <col min="5" max="5" width="12.36328125" customWidth="1"/>
    <col min="6" max="6" width="19.1796875" customWidth="1"/>
    <col min="7" max="7" width="14.36328125" customWidth="1"/>
    <col min="8" max="8" width="16.453125" customWidth="1"/>
    <col min="9" max="9" width="30.6328125" customWidth="1"/>
    <col min="10" max="10" width="20.81640625" customWidth="1"/>
    <col min="11" max="11" width="36.1796875" customWidth="1"/>
    <col min="12" max="12" width="23.81640625" customWidth="1"/>
    <col min="13" max="13" width="24.81640625" customWidth="1"/>
    <col min="14" max="14" width="7" customWidth="1"/>
    <col min="15" max="25" width="8" customWidth="1"/>
    <col min="26" max="26" width="11" customWidth="1"/>
    <col min="27" max="34" width="8" customWidth="1"/>
    <col min="35" max="37" width="9" customWidth="1"/>
    <col min="38" max="38" width="12" bestFit="1" customWidth="1"/>
    <col min="39" max="45" width="9" customWidth="1"/>
    <col min="46" max="46" width="12" bestFit="1" customWidth="1"/>
    <col min="47" max="53" width="9" customWidth="1"/>
    <col min="54" max="54" width="12" bestFit="1" customWidth="1"/>
    <col min="55" max="62" width="9" customWidth="1"/>
    <col min="63" max="70" width="10" customWidth="1"/>
    <col min="71" max="71" width="16.453125" bestFit="1" customWidth="1"/>
    <col min="72" max="74" width="10.1796875" customWidth="1"/>
    <col min="75" max="78" width="9.1796875" customWidth="1"/>
    <col min="79" max="90" width="10.1796875" customWidth="1"/>
    <col min="91" max="94" width="12.6328125" bestFit="1" customWidth="1"/>
    <col min="95" max="102" width="11.1796875" customWidth="1"/>
    <col min="103" max="106" width="12.6328125" bestFit="1" customWidth="1"/>
    <col min="107" max="108" width="11.1796875" customWidth="1"/>
    <col min="109" max="110" width="12.6328125" bestFit="1" customWidth="1"/>
    <col min="111" max="111" width="11.1796875" customWidth="1"/>
    <col min="112" max="112" width="12.6328125" bestFit="1" customWidth="1"/>
    <col min="113" max="113" width="11.1796875" customWidth="1"/>
    <col min="114" max="114" width="12.6328125" bestFit="1" customWidth="1"/>
    <col min="115" max="118" width="11.1796875" customWidth="1"/>
    <col min="119" max="130" width="12.6328125" bestFit="1" customWidth="1"/>
    <col min="131" max="134" width="13.6328125" bestFit="1" customWidth="1"/>
    <col min="135" max="138" width="12.6328125" bestFit="1" customWidth="1"/>
    <col min="139" max="139" width="27.453125" bestFit="1" customWidth="1"/>
    <col min="140" max="140" width="9.453125" customWidth="1"/>
    <col min="141" max="141" width="10" customWidth="1"/>
    <col min="142" max="142" width="9.453125" customWidth="1"/>
    <col min="143" max="146" width="8" customWidth="1"/>
    <col min="147" max="150" width="7" customWidth="1"/>
    <col min="151" max="158" width="8" customWidth="1"/>
    <col min="159" max="161" width="10.453125" customWidth="1"/>
    <col min="162" max="162" width="11" customWidth="1"/>
    <col min="163" max="170" width="9.453125" customWidth="1"/>
    <col min="171" max="173" width="11.453125" bestFit="1" customWidth="1"/>
    <col min="174" max="174" width="12" bestFit="1" customWidth="1"/>
    <col min="175" max="176" width="9.453125" customWidth="1"/>
    <col min="177" max="178" width="11.453125" bestFit="1" customWidth="1"/>
    <col min="179" max="179" width="9.453125" customWidth="1"/>
    <col min="180" max="180" width="11.453125" bestFit="1" customWidth="1"/>
    <col min="181" max="181" width="9.453125" customWidth="1"/>
    <col min="182" max="182" width="12" bestFit="1" customWidth="1"/>
    <col min="183" max="186" width="9.453125" customWidth="1"/>
    <col min="187" max="189" width="11.453125" bestFit="1" customWidth="1"/>
    <col min="190" max="190" width="12" bestFit="1" customWidth="1"/>
    <col min="191" max="198" width="10.453125" customWidth="1"/>
    <col min="199" max="202" width="13.1796875" bestFit="1" customWidth="1"/>
    <col min="203" max="206" width="10.453125" customWidth="1"/>
    <col min="207" max="207" width="29.453125" bestFit="1" customWidth="1"/>
    <col min="208" max="218" width="11.1796875" customWidth="1"/>
    <col min="219" max="238" width="12.6328125" bestFit="1" customWidth="1"/>
    <col min="239" max="266" width="13.6328125" bestFit="1" customWidth="1"/>
    <col min="267" max="274" width="14.6328125" bestFit="1" customWidth="1"/>
    <col min="275" max="275" width="30.6328125" bestFit="1" customWidth="1"/>
    <col min="276" max="276" width="7" customWidth="1"/>
    <col min="277" max="277" width="10" customWidth="1"/>
    <col min="278" max="278" width="7" customWidth="1"/>
    <col min="279" max="282" width="9.1796875" customWidth="1"/>
    <col min="283" max="286" width="10.1796875" customWidth="1"/>
    <col min="287" max="294" width="9.1796875" customWidth="1"/>
    <col min="295" max="297" width="8" customWidth="1"/>
    <col min="298" max="298" width="11" customWidth="1"/>
    <col min="299" max="306" width="9.1796875" customWidth="1"/>
    <col min="307" max="309" width="9" customWidth="1"/>
    <col min="310" max="310" width="12" bestFit="1" customWidth="1"/>
    <col min="311" max="312" width="9.1796875" customWidth="1"/>
    <col min="313" max="314" width="9" customWidth="1"/>
    <col min="315" max="315" width="9.1796875" customWidth="1"/>
    <col min="316" max="316" width="9" customWidth="1"/>
    <col min="317" max="317" width="9.1796875" customWidth="1"/>
    <col min="318" max="318" width="12" bestFit="1" customWidth="1"/>
    <col min="319" max="322" width="9.1796875" customWidth="1"/>
    <col min="323" max="325" width="9" customWidth="1"/>
    <col min="326" max="326" width="12" bestFit="1" customWidth="1"/>
    <col min="327" max="334" width="9.1796875" customWidth="1"/>
    <col min="335" max="338" width="10" customWidth="1"/>
    <col min="339" max="342" width="10.1796875" customWidth="1"/>
    <col min="343" max="343" width="20.81640625" bestFit="1" customWidth="1"/>
    <col min="344" max="344" width="7" customWidth="1"/>
    <col min="345" max="345" width="10" customWidth="1"/>
    <col min="346" max="346" width="7" customWidth="1"/>
    <col min="347" max="362" width="9.1796875" customWidth="1"/>
    <col min="363" max="365" width="8" customWidth="1"/>
    <col min="366" max="366" width="11" customWidth="1"/>
    <col min="367" max="367" width="9.1796875" customWidth="1"/>
    <col min="368" max="369" width="8" customWidth="1"/>
    <col min="370" max="370" width="9.1796875" customWidth="1"/>
    <col min="371" max="372" width="8" customWidth="1"/>
    <col min="373" max="374" width="9.1796875" customWidth="1"/>
    <col min="375" max="377" width="9" customWidth="1"/>
    <col min="378" max="378" width="12" bestFit="1" customWidth="1"/>
    <col min="379" max="380" width="9.1796875" customWidth="1"/>
    <col min="381" max="382" width="9" customWidth="1"/>
    <col min="383" max="383" width="9.1796875" customWidth="1"/>
    <col min="384" max="384" width="9" customWidth="1"/>
    <col min="385" max="385" width="9.1796875" customWidth="1"/>
    <col min="386" max="386" width="12" bestFit="1" customWidth="1"/>
    <col min="387" max="390" width="9.1796875" customWidth="1"/>
    <col min="391" max="393" width="9" customWidth="1"/>
    <col min="394" max="394" width="12" bestFit="1" customWidth="1"/>
    <col min="395" max="402" width="9.1796875" customWidth="1"/>
    <col min="403" max="410" width="10" customWidth="1"/>
    <col min="411" max="411" width="36.1796875" bestFit="1" customWidth="1"/>
    <col min="412" max="426" width="11.1796875" customWidth="1"/>
    <col min="427" max="446" width="12.6328125" bestFit="1" customWidth="1"/>
    <col min="447" max="448" width="13.6328125" bestFit="1" customWidth="1"/>
    <col min="449" max="450" width="12.6328125" bestFit="1" customWidth="1"/>
    <col min="451" max="451" width="13.6328125" bestFit="1" customWidth="1"/>
    <col min="452" max="452" width="12.6328125" bestFit="1" customWidth="1"/>
    <col min="453" max="453" width="13.6328125" bestFit="1" customWidth="1"/>
    <col min="454" max="462" width="12.6328125" bestFit="1" customWidth="1"/>
    <col min="463" max="478" width="13.6328125" bestFit="1" customWidth="1"/>
    <col min="479" max="479" width="23.81640625" bestFit="1" customWidth="1"/>
    <col min="480" max="482" width="10.1796875" customWidth="1"/>
    <col min="483" max="502" width="11.1796875" customWidth="1"/>
    <col min="503" max="522" width="12.6328125" bestFit="1" customWidth="1"/>
    <col min="523" max="546" width="13.6328125" bestFit="1" customWidth="1"/>
    <col min="547" max="547" width="24.81640625" bestFit="1" customWidth="1"/>
    <col min="548" max="548" width="7" customWidth="1"/>
    <col min="549" max="549" width="10" customWidth="1"/>
    <col min="550" max="558" width="7" customWidth="1"/>
    <col min="559" max="569" width="8" customWidth="1"/>
    <col min="570" max="570" width="11" customWidth="1"/>
    <col min="571" max="578" width="8" customWidth="1"/>
    <col min="579" max="581" width="9" customWidth="1"/>
    <col min="582" max="582" width="12" bestFit="1" customWidth="1"/>
    <col min="583" max="589" width="9" customWidth="1"/>
    <col min="590" max="590" width="12" bestFit="1" customWidth="1"/>
    <col min="591" max="597" width="9" customWidth="1"/>
    <col min="598" max="598" width="12" bestFit="1" customWidth="1"/>
    <col min="599" max="606" width="9" customWidth="1"/>
    <col min="607" max="608" width="10" customWidth="1"/>
    <col min="609" max="609" width="12" bestFit="1" customWidth="1"/>
    <col min="610" max="614" width="10" customWidth="1"/>
    <col min="615" max="615" width="19.36328125" bestFit="1" customWidth="1"/>
    <col min="616" max="616" width="21.453125" bestFit="1" customWidth="1"/>
    <col min="617" max="617" width="32.453125" bestFit="1" customWidth="1"/>
    <col min="618" max="618" width="34.453125" bestFit="1" customWidth="1"/>
    <col min="619" max="619" width="35.6328125" bestFit="1" customWidth="1"/>
    <col min="620" max="620" width="25.81640625" bestFit="1" customWidth="1"/>
    <col min="621" max="621" width="41.1796875" bestFit="1" customWidth="1"/>
    <col min="622" max="622" width="28.81640625" bestFit="1" customWidth="1"/>
    <col min="623" max="623" width="29.81640625" bestFit="1" customWidth="1"/>
  </cols>
  <sheetData>
    <row r="3" spans="2:13">
      <c r="B3" s="59" t="s">
        <v>176</v>
      </c>
      <c r="C3" t="s">
        <v>318</v>
      </c>
      <c r="D3" t="s">
        <v>317</v>
      </c>
      <c r="E3" t="s">
        <v>324</v>
      </c>
      <c r="F3" t="s">
        <v>325</v>
      </c>
      <c r="G3" t="s">
        <v>315</v>
      </c>
      <c r="H3" t="s">
        <v>316</v>
      </c>
      <c r="I3" t="s">
        <v>319</v>
      </c>
      <c r="J3" t="s">
        <v>320</v>
      </c>
      <c r="K3" t="s">
        <v>321</v>
      </c>
      <c r="L3" t="s">
        <v>322</v>
      </c>
      <c r="M3" t="s">
        <v>323</v>
      </c>
    </row>
    <row r="4" spans="2:13">
      <c r="B4" s="60" t="s">
        <v>18</v>
      </c>
      <c r="C4" s="69">
        <v>526239963</v>
      </c>
      <c r="D4" s="107">
        <v>52253</v>
      </c>
      <c r="E4" s="61">
        <v>0.28879793444359447</v>
      </c>
      <c r="F4" s="69">
        <v>83664761.608309314</v>
      </c>
      <c r="G4" s="61">
        <v>0.15713731966861111</v>
      </c>
      <c r="H4" s="69">
        <v>45522681.507996641</v>
      </c>
      <c r="I4" s="69">
        <v>80568</v>
      </c>
      <c r="J4" s="69">
        <v>51744</v>
      </c>
      <c r="K4" s="69">
        <v>336271221</v>
      </c>
      <c r="L4" s="69">
        <v>189968742</v>
      </c>
      <c r="M4" s="61">
        <v>0.20806211208637113</v>
      </c>
    </row>
    <row r="5" spans="2:13">
      <c r="B5" s="60" t="s">
        <v>9</v>
      </c>
      <c r="C5" s="69">
        <v>512087484</v>
      </c>
      <c r="D5" s="107">
        <v>144372</v>
      </c>
      <c r="E5" s="61">
        <v>0.28103112274203551</v>
      </c>
      <c r="F5" s="69">
        <v>81414716.258367687</v>
      </c>
      <c r="G5" s="61">
        <v>0.45658157407809841</v>
      </c>
      <c r="H5" s="69">
        <v>132271682.01042511</v>
      </c>
      <c r="I5" s="69">
        <v>56752</v>
      </c>
      <c r="J5" s="69">
        <v>31556</v>
      </c>
      <c r="K5" s="69">
        <v>242590075</v>
      </c>
      <c r="L5" s="69">
        <v>269497409</v>
      </c>
      <c r="M5" s="61">
        <v>0.29516540209728082</v>
      </c>
    </row>
    <row r="6" spans="2:13">
      <c r="B6" s="60" t="s">
        <v>11</v>
      </c>
      <c r="C6" s="69">
        <v>664099986.26000011</v>
      </c>
      <c r="D6" s="107">
        <v>15860998</v>
      </c>
      <c r="E6" s="61">
        <v>0.36445484528112032</v>
      </c>
      <c r="F6" s="69">
        <v>105582568.67794056</v>
      </c>
      <c r="G6" s="61">
        <v>0.33379452690964001</v>
      </c>
      <c r="H6" s="69">
        <v>96700274.445722714</v>
      </c>
      <c r="I6" s="69">
        <v>1004.88</v>
      </c>
      <c r="J6" s="69">
        <v>575.67999999999995</v>
      </c>
      <c r="K6" s="69">
        <v>282782837.40000004</v>
      </c>
      <c r="L6" s="69">
        <v>381317148.86000001</v>
      </c>
      <c r="M6" s="61">
        <v>0.41763529373987635</v>
      </c>
    </row>
    <row r="7" spans="2:13">
      <c r="B7" s="60" t="s">
        <v>13</v>
      </c>
      <c r="C7" s="69">
        <v>37213256</v>
      </c>
      <c r="D7" s="107">
        <v>19463</v>
      </c>
      <c r="E7" s="61">
        <v>2.0422454055851889E-2</v>
      </c>
      <c r="F7" s="69">
        <v>5916384.9399802918</v>
      </c>
      <c r="G7" s="61">
        <v>1.8815652794587214E-2</v>
      </c>
      <c r="H7" s="69">
        <v>5450894.6145919161</v>
      </c>
      <c r="I7" s="69">
        <v>22944</v>
      </c>
      <c r="J7" s="69">
        <v>12328</v>
      </c>
      <c r="K7" s="69">
        <v>13607350</v>
      </c>
      <c r="L7" s="69">
        <v>23605906</v>
      </c>
      <c r="M7" s="61">
        <v>2.5854225323407892E-2</v>
      </c>
    </row>
    <row r="8" spans="2:13">
      <c r="B8" s="60" t="s">
        <v>15</v>
      </c>
      <c r="C8" s="69">
        <v>82532880</v>
      </c>
      <c r="D8" s="107">
        <v>29020</v>
      </c>
      <c r="E8" s="61">
        <v>4.5293643477397873E-2</v>
      </c>
      <c r="F8" s="69">
        <v>13121568.515402164</v>
      </c>
      <c r="G8" s="61">
        <v>3.3670926549063201E-2</v>
      </c>
      <c r="H8" s="69">
        <v>9754467.4212636091</v>
      </c>
      <c r="I8" s="69">
        <v>22752</v>
      </c>
      <c r="J8" s="69">
        <v>10744</v>
      </c>
      <c r="K8" s="69">
        <v>33883474</v>
      </c>
      <c r="L8" s="69">
        <v>48649406</v>
      </c>
      <c r="M8" s="61">
        <v>5.3282966753063911E-2</v>
      </c>
    </row>
    <row r="9" spans="2:13">
      <c r="B9" s="60" t="s">
        <v>177</v>
      </c>
      <c r="C9" s="69">
        <v>1822173569.26</v>
      </c>
      <c r="D9" s="107">
        <v>16106106</v>
      </c>
      <c r="E9" s="61">
        <v>1</v>
      </c>
      <c r="F9" s="69">
        <v>289700000</v>
      </c>
      <c r="G9" s="61">
        <v>1</v>
      </c>
      <c r="H9" s="69">
        <v>289700000</v>
      </c>
      <c r="I9" s="69">
        <v>184020.88</v>
      </c>
      <c r="J9" s="69">
        <v>106947.68</v>
      </c>
      <c r="K9" s="69">
        <v>909134957.39999998</v>
      </c>
      <c r="L9" s="69">
        <v>913038611.8599999</v>
      </c>
      <c r="M9" s="61">
        <v>1</v>
      </c>
    </row>
    <row r="11" spans="2:13" ht="15" customHeight="1">
      <c r="D11" s="254" t="s">
        <v>329</v>
      </c>
      <c r="E11" s="254"/>
      <c r="F11" s="254"/>
    </row>
    <row r="12" spans="2:13">
      <c r="D12" s="254"/>
      <c r="E12" s="254"/>
      <c r="F12" s="254"/>
    </row>
    <row r="13" spans="2:13">
      <c r="D13" s="254"/>
      <c r="E13" s="254"/>
      <c r="F13" s="254"/>
    </row>
    <row r="14" spans="2:13">
      <c r="D14" s="254"/>
      <c r="E14" s="254"/>
      <c r="F14" s="254"/>
    </row>
    <row r="15" spans="2:13">
      <c r="D15" s="254"/>
      <c r="E15" s="254"/>
      <c r="F15" s="254"/>
    </row>
    <row r="16" spans="2:13">
      <c r="D16" s="218"/>
      <c r="E16" s="218"/>
      <c r="F16" s="218"/>
    </row>
    <row r="17" spans="4:6">
      <c r="D17" s="218"/>
      <c r="E17" s="218"/>
      <c r="F17" s="218"/>
    </row>
    <row r="18" spans="4:6">
      <c r="D18" s="218"/>
      <c r="E18" s="218"/>
      <c r="F18" s="255"/>
    </row>
    <row r="19" spans="4:6">
      <c r="D19" s="218"/>
      <c r="E19" s="218"/>
      <c r="F19" s="255"/>
    </row>
    <row r="20" spans="4:6">
      <c r="F20" s="86"/>
    </row>
    <row r="21" spans="4:6">
      <c r="F21" s="86"/>
    </row>
    <row r="22" spans="4:6">
      <c r="F22" s="86"/>
    </row>
    <row r="23" spans="4:6">
      <c r="F23" s="86"/>
    </row>
  </sheetData>
  <mergeCells count="1">
    <mergeCell ref="D11:F19"/>
  </mergeCell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N26"/>
  <sheetViews>
    <sheetView showGridLines="0" zoomScale="110" zoomScaleNormal="84" workbookViewId="0">
      <selection activeCell="I5" sqref="I5"/>
    </sheetView>
  </sheetViews>
  <sheetFormatPr baseColWidth="10" defaultColWidth="8.81640625" defaultRowHeight="14.5"/>
  <cols>
    <col min="1" max="1" width="17.453125" customWidth="1"/>
    <col min="2" max="2" width="32.1796875" customWidth="1"/>
    <col min="3" max="3" width="40.453125" customWidth="1"/>
    <col min="4" max="6" width="41.453125" customWidth="1"/>
    <col min="7" max="7" width="28.6328125" customWidth="1"/>
    <col min="8" max="8" width="29.1796875" customWidth="1"/>
    <col min="9" max="9" width="18.1796875" customWidth="1"/>
    <col min="11" max="12" width="17" customWidth="1"/>
    <col min="13" max="13" width="21.36328125" customWidth="1"/>
    <col min="14" max="14" width="19.1796875" customWidth="1"/>
  </cols>
  <sheetData>
    <row r="1" spans="1:14" ht="21">
      <c r="A1" s="240" t="s">
        <v>150</v>
      </c>
      <c r="B1" s="218"/>
      <c r="C1" s="218"/>
      <c r="D1" s="218"/>
      <c r="E1" s="218"/>
    </row>
    <row r="3" spans="1:14" ht="58.5" thickBot="1">
      <c r="A3" s="50" t="s">
        <v>4</v>
      </c>
      <c r="B3" s="50" t="s">
        <v>114</v>
      </c>
      <c r="C3" s="50" t="s">
        <v>27</v>
      </c>
      <c r="D3" s="50" t="s">
        <v>115</v>
      </c>
      <c r="E3" s="50" t="s">
        <v>30</v>
      </c>
      <c r="F3" s="188" t="s">
        <v>326</v>
      </c>
      <c r="G3" s="50" t="s">
        <v>154</v>
      </c>
      <c r="H3" s="50" t="s">
        <v>155</v>
      </c>
      <c r="I3" s="50" t="s">
        <v>159</v>
      </c>
      <c r="J3" s="50" t="s">
        <v>156</v>
      </c>
      <c r="K3" s="50" t="s">
        <v>157</v>
      </c>
      <c r="L3" s="50" t="s">
        <v>160</v>
      </c>
      <c r="M3" s="50" t="s">
        <v>158</v>
      </c>
    </row>
    <row r="4" spans="1:14" ht="16.5">
      <c r="A4" s="146" t="s">
        <v>9</v>
      </c>
      <c r="B4" s="147">
        <f>SUMIFS(DB_Ventas!$H$4:$H$71, DB_Ventas!$D$4:$D$71, A4)</f>
        <v>512087484</v>
      </c>
      <c r="C4" s="147">
        <f>SUMIFS(DB_Ventas!$J$4:$J$71, DB_Ventas!$D$4:$D$71, A4)</f>
        <v>242590075</v>
      </c>
      <c r="D4" s="148">
        <f>Tablametales[[#This Row],[INGRESOS TOTALES (USD)]]-Tablametales[[#This Row],[COSTO VARIABLE TOTAL (USD)]]</f>
        <v>269497409</v>
      </c>
      <c r="E4" s="149">
        <f>+Tablametales[[#This Row],[MARGEN DE CONTRIBUCIÓN (USD)]]/Tablametales[[#This Row],[INGRESOS TOTALES (USD)]]</f>
        <v>0.52627220430171651</v>
      </c>
      <c r="F4" s="147">
        <f>SUMIFS(Tabla1[COMPLEJIDAD X METAL total],Tabla1[METAL], Tablametales[[#This Row],[METAL]])</f>
        <v>21733.282926117481</v>
      </c>
      <c r="G4" s="150">
        <f>B4/$B$9</f>
        <v>0.28103112274203546</v>
      </c>
      <c r="H4" s="151">
        <f>G4*'DATOS CENTRALES'!$B$5</f>
        <v>81414716.258367673</v>
      </c>
      <c r="I4" s="152">
        <f>+Tablametales[[#This Row],[MARGEN DE CONTRIBUCIÓN (USD)]]-Tabla4[[#This Row],[BASE 1: CF POR INGRESOS (USD)]]</f>
        <v>188082692.74163234</v>
      </c>
      <c r="J4" s="150">
        <f>+Tablametales[[#This Row],[Complejidad]]/$F$9</f>
        <v>0.45658157407809841</v>
      </c>
      <c r="K4" s="151">
        <f>J4*'DATOS CENTRALES'!$B$5</f>
        <v>132271682.01042511</v>
      </c>
      <c r="L4" s="204">
        <f>Tablametales[[#This Row],[MARGEN DE CONTRIBUCIÓN (USD)]]-Tabla4[[#This Row],[BASE 2: CF POR COMPLEJIDAD (USD)]]</f>
        <v>137225726.98957491</v>
      </c>
      <c r="M4" s="152">
        <f>Tabla4[[#This Row],[BASE 2: CF POR COMPLEJIDAD (USD)]]-Tabla4[[#This Row],[BASE 1: CF POR INGRESOS (USD)]]</f>
        <v>50856965.752057433</v>
      </c>
    </row>
    <row r="5" spans="1:14" ht="16.5">
      <c r="A5" s="195" t="s">
        <v>11</v>
      </c>
      <c r="B5" s="196">
        <f>SUMIFS(DB_Ventas!$H$4:$H$71, DB_Ventas!$D$4:$D$71, A5)</f>
        <v>664099986.26000011</v>
      </c>
      <c r="C5" s="196">
        <f>SUMIFS(DB_Ventas!$J$4:$J$71, DB_Ventas!$D$4:$D$71, A5)</f>
        <v>282782837.40000004</v>
      </c>
      <c r="D5" s="197">
        <f>Tablametales[[#This Row],[INGRESOS TOTALES (USD)]]-Tablametales[[#This Row],[COSTO VARIABLE TOTAL (USD)]]</f>
        <v>381317148.86000007</v>
      </c>
      <c r="E5" s="198">
        <f>+Tablametales[[#This Row],[MARGEN DE CONTRIBUCIÓN (USD)]]/Tablametales[[#This Row],[INGRESOS TOTALES (USD)]]</f>
        <v>0.57418635258141926</v>
      </c>
      <c r="F5" s="197">
        <f>SUMIFS(Tabla1[COMPLEJIDAD X METAL total],Tabla1[METAL], Tablametales[[#This Row],[METAL]])</f>
        <v>15888.619480898866</v>
      </c>
      <c r="G5" s="199">
        <f>B5/$B$9</f>
        <v>0.36445484528112027</v>
      </c>
      <c r="H5" s="200">
        <f>G5*'DATOS CENTRALES'!$B$5</f>
        <v>105582568.67794055</v>
      </c>
      <c r="I5" s="204">
        <f>+Tablametales[[#This Row],[MARGEN DE CONTRIBUCIÓN (USD)]]-Tabla4[[#This Row],[BASE 1: CF POR INGRESOS (USD)]]</f>
        <v>275734580.18205953</v>
      </c>
      <c r="J5" s="201">
        <f>+Tablametales[[#This Row],[Complejidad]]/$F$9</f>
        <v>0.33379452690964007</v>
      </c>
      <c r="K5" s="203">
        <f>J5*'DATOS CENTRALES'!$B$5</f>
        <v>96700274.445722729</v>
      </c>
      <c r="L5" s="193">
        <f>+Tablametales[[#This Row],[MARGEN DE CONTRIBUCIÓN (USD)]]-Tabla4[[#This Row],[BASE 2: CF POR COMPLEJIDAD (USD)]]</f>
        <v>284616874.41427732</v>
      </c>
      <c r="M5" s="202">
        <f>+Tabla4[[#This Row],[BASE 2: CF POR COMPLEJIDAD (USD)]]-Tabla4[[#This Row],[BASE 1: CF POR INGRESOS (USD)]]</f>
        <v>-8882294.2322178185</v>
      </c>
    </row>
    <row r="6" spans="1:14" ht="16.5">
      <c r="A6" s="146" t="s">
        <v>18</v>
      </c>
      <c r="B6" s="147">
        <f>SUMIFS(DB_Ventas!$H$4:$H$71, DB_Ventas!$D$4:$D$71, A6)</f>
        <v>526239963</v>
      </c>
      <c r="C6" s="147">
        <f>SUMIFS(DB_Ventas!$J$4:$J$71, DB_Ventas!$D$4:$D$71, A6)</f>
        <v>336271221</v>
      </c>
      <c r="D6" s="148">
        <f>Tablametales[[#This Row],[INGRESOS TOTALES (USD)]]-Tablametales[[#This Row],[COSTO VARIABLE TOTAL (USD)]]</f>
        <v>189968742</v>
      </c>
      <c r="E6" s="149">
        <f>+Tablametales[[#This Row],[MARGEN DE CONTRIBUCIÓN (USD)]]/Tablametales[[#This Row],[INGRESOS TOTALES (USD)]]</f>
        <v>0.36099261811478961</v>
      </c>
      <c r="F6" s="148">
        <f>SUMIFS(Tabla1[COMPLEJIDAD X METAL total],Tabla1[METAL], Tablametales[[#This Row],[METAL]])</f>
        <v>7479.73641622589</v>
      </c>
      <c r="G6" s="150">
        <f>B6/$B$9</f>
        <v>0.28879793444359442</v>
      </c>
      <c r="H6" s="191">
        <f>G6*'DATOS CENTRALES'!$B$5</f>
        <v>83664761.608309299</v>
      </c>
      <c r="I6" s="152">
        <f>+Tablametales[[#This Row],[MARGEN DE CONTRIBUCIÓN (USD)]]-Tabla4[[#This Row],[BASE 1: CF POR INGRESOS (USD)]]</f>
        <v>106303980.3916907</v>
      </c>
      <c r="J6" s="192">
        <f>+Tablametales[[#This Row],[Complejidad]]/$F$9</f>
        <v>0.15713731966861116</v>
      </c>
      <c r="K6" s="191">
        <f>J6*'DATOS CENTRALES'!$B$5</f>
        <v>45522681.507996656</v>
      </c>
      <c r="L6" s="193">
        <f>+Tablametales[[#This Row],[MARGEN DE CONTRIBUCIÓN (USD)]]-Tabla4[[#This Row],[BASE 2: CF POR COMPLEJIDAD (USD)]]</f>
        <v>144446060.49200335</v>
      </c>
      <c r="M6" s="194">
        <f>+Tabla4[[#This Row],[BASE 2: CF POR COMPLEJIDAD (USD)]]-Tabla4[[#This Row],[BASE 1: CF POR INGRESOS (USD)]]</f>
        <v>-38142080.100312643</v>
      </c>
      <c r="N6" s="205"/>
    </row>
    <row r="7" spans="1:14" ht="16.5">
      <c r="A7" s="9" t="s">
        <v>13</v>
      </c>
      <c r="B7" s="31">
        <f>SUMIFS(DB_Ventas!$H$4:$H$71, DB_Ventas!$D$4:$D$71, A7)</f>
        <v>37213256</v>
      </c>
      <c r="C7" s="31">
        <f>SUMIFS(DB_Ventas!$J$4:$J$71, DB_Ventas!$D$4:$D$71, A7)</f>
        <v>13607350</v>
      </c>
      <c r="D7" s="43">
        <f>Tablametales[[#This Row],[INGRESOS TOTALES (USD)]]-Tablametales[[#This Row],[COSTO VARIABLE TOTAL (USD)]]</f>
        <v>23605906</v>
      </c>
      <c r="E7" s="24">
        <f>+Tablametales[[#This Row],[MARGEN DE CONTRIBUCIÓN (USD)]]/Tablametales[[#This Row],[INGRESOS TOTALES (USD)]]</f>
        <v>0.63434132181285074</v>
      </c>
      <c r="F7" s="43">
        <f>SUMIFS(Tabla1[COMPLEJIDAD X METAL total],Tabla1[METAL], Tablametales[[#This Row],[METAL]])</f>
        <v>895.62507302235133</v>
      </c>
      <c r="G7" s="51">
        <f>B7/$B$9</f>
        <v>2.0422454055851885E-2</v>
      </c>
      <c r="H7" s="144">
        <f>G7*'DATOS CENTRALES'!$B$5</f>
        <v>5916384.9399802908</v>
      </c>
      <c r="I7" s="190">
        <f>+Tablametales[[#This Row],[MARGEN DE CONTRIBUCIÓN (USD)]]-Tabla4[[#This Row],[BASE 1: CF POR INGRESOS (USD)]]</f>
        <v>17689521.060019709</v>
      </c>
      <c r="J7" s="189">
        <f>+Tablametales[[#This Row],[Complejidad]]/$F$9</f>
        <v>1.8815652794587214E-2</v>
      </c>
      <c r="K7" s="144">
        <f>J7*'DATOS CENTRALES'!$B$5</f>
        <v>5450894.6145919161</v>
      </c>
      <c r="L7" s="145">
        <f>+Tablametales[[#This Row],[MARGEN DE CONTRIBUCIÓN (USD)]]-Tabla4[[#This Row],[BASE 2: CF POR COMPLEJIDAD (USD)]]</f>
        <v>18155011.385408085</v>
      </c>
      <c r="M7" s="143">
        <f>+Tabla4[[#This Row],[BASE 2: CF POR COMPLEJIDAD (USD)]]-Tabla4[[#This Row],[BASE 1: CF POR INGRESOS (USD)]]</f>
        <v>-465490.32538837474</v>
      </c>
    </row>
    <row r="8" spans="1:14" ht="16.5">
      <c r="A8" s="6" t="s">
        <v>15</v>
      </c>
      <c r="B8" s="31">
        <f>SUMIFS(DB_Ventas!$H$4:$H$71, DB_Ventas!$D$4:$D$71, A8)</f>
        <v>82532880</v>
      </c>
      <c r="C8" s="31">
        <f>SUMIFS(DB_Ventas!$J$4:$J$71, DB_Ventas!$D$4:$D$71, A8)</f>
        <v>33883474</v>
      </c>
      <c r="D8" s="43">
        <f>Tablametales[[#This Row],[INGRESOS TOTALES (USD)]]-Tablametales[[#This Row],[COSTO VARIABLE TOTAL (USD)]]</f>
        <v>48649406</v>
      </c>
      <c r="E8" s="24">
        <f>+Tablametales[[#This Row],[MARGEN DE CONTRIBUCIÓN (USD)]]/Tablametales[[#This Row],[INGRESOS TOTALES (USD)]]</f>
        <v>0.58945484514777624</v>
      </c>
      <c r="F8" s="43">
        <f>SUMIFS(Tabla1[COMPLEJIDAD X METAL total],Tabla1[METAL], Tablametales[[#This Row],[METAL]])</f>
        <v>1602.7361037354081</v>
      </c>
      <c r="G8" s="51">
        <f>B8/$B$9</f>
        <v>4.5293643477397866E-2</v>
      </c>
      <c r="H8" s="144">
        <f>G8*'DATOS CENTRALES'!$B$5</f>
        <v>13121568.515402162</v>
      </c>
      <c r="I8" s="190">
        <f>+Tablametales[[#This Row],[MARGEN DE CONTRIBUCIÓN (USD)]]-Tabla4[[#This Row],[BASE 1: CF POR INGRESOS (USD)]]</f>
        <v>35527837.484597839</v>
      </c>
      <c r="J8" s="189">
        <f>+Tablametales[[#This Row],[Complejidad]]/$F$9</f>
        <v>3.3670926549063201E-2</v>
      </c>
      <c r="K8" s="144">
        <f>J8*'DATOS CENTRALES'!$B$5</f>
        <v>9754467.4212636091</v>
      </c>
      <c r="L8" s="145">
        <f>+Tablametales[[#This Row],[MARGEN DE CONTRIBUCIÓN (USD)]]-Tabla4[[#This Row],[BASE 2: CF POR COMPLEJIDAD (USD)]]</f>
        <v>38894938.578736395</v>
      </c>
      <c r="M8" s="143">
        <f>+Tabla4[[#This Row],[BASE 2: CF POR COMPLEJIDAD (USD)]]-Tabla4[[#This Row],[BASE 1: CF POR INGRESOS (USD)]]</f>
        <v>-3367101.0941385534</v>
      </c>
    </row>
    <row r="9" spans="1:14" ht="16.5">
      <c r="A9" s="45" t="s">
        <v>113</v>
      </c>
      <c r="B9" s="47">
        <f>SUM(B4:B8)</f>
        <v>1822173569.2600002</v>
      </c>
      <c r="C9" s="47">
        <f>SUM(C4:C8)</f>
        <v>909134957.4000001</v>
      </c>
      <c r="D9" s="47">
        <f>Tablametales[[#This Row],[INGRESOS TOTALES (USD)]]-Tablametales[[#This Row],[COSTO VARIABLE TOTAL (USD)]]</f>
        <v>913038611.86000013</v>
      </c>
      <c r="E9" s="62"/>
      <c r="F9" s="55">
        <f>SUM(F4:F8)</f>
        <v>47599.999999999993</v>
      </c>
      <c r="G9" s="54">
        <f>SUM(G4:G8)</f>
        <v>0.99999999999999989</v>
      </c>
      <c r="H9" s="55">
        <f>SUM(H4:H8)</f>
        <v>289699999.99999994</v>
      </c>
      <c r="I9" s="55">
        <f t="shared" ref="I9:L9" si="0">SUM(I4:I8)</f>
        <v>623338611.86000013</v>
      </c>
      <c r="J9" s="54">
        <f t="shared" si="0"/>
        <v>1</v>
      </c>
      <c r="K9" s="55">
        <f t="shared" si="0"/>
        <v>289700000.00000006</v>
      </c>
      <c r="L9" s="55">
        <f t="shared" si="0"/>
        <v>623338611.86000001</v>
      </c>
      <c r="M9" s="55">
        <f>SUM(M4:M8)</f>
        <v>4.377216100692749E-8</v>
      </c>
    </row>
    <row r="11" spans="1:14">
      <c r="E11" s="63"/>
      <c r="F11" s="63"/>
    </row>
    <row r="12" spans="1:14" ht="29.5" thickBot="1">
      <c r="H12" s="103" t="s">
        <v>242</v>
      </c>
      <c r="I12" s="206"/>
      <c r="K12" s="254" t="s">
        <v>329</v>
      </c>
      <c r="L12" s="254"/>
      <c r="M12" s="254"/>
    </row>
    <row r="13" spans="1:14" ht="15" thickTop="1">
      <c r="H13" s="80">
        <f>+SUMIF(Tabla1[METAL],'Consolidado x metales'!A4,Tabla1[VOLUMEN VENDIDO])</f>
        <v>144372</v>
      </c>
      <c r="K13" s="254"/>
      <c r="L13" s="254"/>
      <c r="M13" s="254"/>
    </row>
    <row r="14" spans="1:14">
      <c r="A14" s="59" t="s">
        <v>176</v>
      </c>
      <c r="B14" t="s">
        <v>178</v>
      </c>
      <c r="C14" t="s">
        <v>179</v>
      </c>
      <c r="D14" t="s">
        <v>180</v>
      </c>
      <c r="E14" t="s">
        <v>181</v>
      </c>
      <c r="H14" s="80">
        <f>+SUMIF(Tabla1[METAL],'Consolidado x metales'!A5,Tabla1[VOLUMEN VENDIDO])</f>
        <v>15860998</v>
      </c>
      <c r="K14" s="254"/>
      <c r="L14" s="254"/>
      <c r="M14" s="254"/>
    </row>
    <row r="15" spans="1:14">
      <c r="A15" s="60" t="s">
        <v>18</v>
      </c>
      <c r="B15">
        <v>526239963</v>
      </c>
      <c r="C15">
        <v>189968742</v>
      </c>
      <c r="D15" s="61">
        <v>0.2080621120863711</v>
      </c>
      <c r="E15">
        <v>45522681.507996641</v>
      </c>
      <c r="H15" s="80">
        <f>+SUMIF(Tabla1[METAL],'Consolidado x metales'!A6,Tabla1[VOLUMEN VENDIDO])</f>
        <v>52253</v>
      </c>
      <c r="K15" s="254"/>
      <c r="L15" s="254"/>
      <c r="M15" s="254"/>
    </row>
    <row r="16" spans="1:14">
      <c r="A16" s="60" t="s">
        <v>9</v>
      </c>
      <c r="B16">
        <v>512087484</v>
      </c>
      <c r="C16">
        <v>269497409</v>
      </c>
      <c r="D16" s="61">
        <v>0.29516540209728082</v>
      </c>
      <c r="E16">
        <v>132271682.01042511</v>
      </c>
      <c r="H16" s="80">
        <f>+SUMIF(Tabla1[METAL],'Consolidado x metales'!A7,Tabla1[VOLUMEN VENDIDO])</f>
        <v>19463</v>
      </c>
      <c r="K16" s="254"/>
      <c r="L16" s="254"/>
      <c r="M16" s="254"/>
    </row>
    <row r="17" spans="1:13">
      <c r="A17" s="60" t="s">
        <v>11</v>
      </c>
      <c r="B17">
        <v>664099986.25999999</v>
      </c>
      <c r="C17">
        <v>381317148.86000001</v>
      </c>
      <c r="D17" s="61">
        <v>0.41763529373987629</v>
      </c>
      <c r="E17">
        <v>96700274.445722714</v>
      </c>
      <c r="H17" s="80">
        <f>+SUMIF(Tabla1[METAL],'Consolidado x metales'!A8,Tabla1[VOLUMEN VENDIDO])</f>
        <v>29020</v>
      </c>
      <c r="K17" s="218"/>
      <c r="L17" s="218"/>
      <c r="M17" s="218"/>
    </row>
    <row r="18" spans="1:13">
      <c r="A18" s="60" t="s">
        <v>13</v>
      </c>
      <c r="B18">
        <v>37213256</v>
      </c>
      <c r="C18">
        <v>23605906</v>
      </c>
      <c r="D18" s="61">
        <v>2.5854225323407889E-2</v>
      </c>
      <c r="E18">
        <v>5450894.6145919161</v>
      </c>
      <c r="H18" s="80">
        <f>SUM(H13:H17)</f>
        <v>16106106</v>
      </c>
      <c r="K18" s="218"/>
      <c r="L18" s="218"/>
      <c r="M18" s="218"/>
    </row>
    <row r="19" spans="1:13">
      <c r="A19" s="60" t="s">
        <v>15</v>
      </c>
      <c r="B19">
        <v>82532880</v>
      </c>
      <c r="C19">
        <v>48649406</v>
      </c>
      <c r="D19" s="61">
        <v>5.3282966753063904E-2</v>
      </c>
      <c r="E19">
        <v>9754467.4212636091</v>
      </c>
      <c r="K19" s="218"/>
      <c r="L19" s="218"/>
      <c r="M19" s="218"/>
    </row>
    <row r="20" spans="1:13">
      <c r="A20" s="60" t="s">
        <v>177</v>
      </c>
      <c r="B20">
        <v>1822173569.26</v>
      </c>
      <c r="C20">
        <v>913038611.86000001</v>
      </c>
      <c r="D20" s="61">
        <v>1</v>
      </c>
      <c r="E20">
        <v>289700000</v>
      </c>
      <c r="K20" s="218"/>
      <c r="L20" s="218"/>
      <c r="M20" s="218"/>
    </row>
    <row r="26" spans="1:13">
      <c r="E26" s="63"/>
      <c r="F26" s="63"/>
    </row>
  </sheetData>
  <scenarios current="0" show="0">
    <scenario name="s" locked="1" count="1" user="CICELY GUILLEN" comment="Creado por CICELY GUILLEN el 20/09/2026">
      <inputCells r="A14" val="Etiquetas de fila"/>
    </scenario>
  </scenarios>
  <mergeCells count="2">
    <mergeCell ref="A1:E1"/>
    <mergeCell ref="K12:M20"/>
  </mergeCells>
  <pageMargins left="0.75" right="0.75" top="1" bottom="1" header="0.5" footer="0.5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9"/>
  <sheetViews>
    <sheetView zoomScale="106" workbookViewId="0">
      <selection activeCell="H21" sqref="H21"/>
    </sheetView>
  </sheetViews>
  <sheetFormatPr baseColWidth="10" defaultColWidth="11.453125" defaultRowHeight="14.5"/>
  <cols>
    <col min="1" max="1" width="25.6328125" customWidth="1"/>
    <col min="2" max="2" width="13.81640625" bestFit="1" customWidth="1"/>
    <col min="3" max="3" width="14.453125" customWidth="1"/>
    <col min="4" max="4" width="11.6328125" bestFit="1" customWidth="1"/>
    <col min="5" max="5" width="23.6328125" customWidth="1"/>
    <col min="6" max="6" width="15.81640625" customWidth="1"/>
    <col min="7" max="8" width="14" bestFit="1" customWidth="1"/>
    <col min="9" max="9" width="19" customWidth="1"/>
    <col min="10" max="10" width="14" bestFit="1" customWidth="1"/>
    <col min="11" max="11" width="11.6328125" bestFit="1" customWidth="1"/>
    <col min="13" max="14" width="14.6328125" bestFit="1" customWidth="1"/>
    <col min="15" max="15" width="11.6328125" bestFit="1" customWidth="1"/>
    <col min="16" max="17" width="12.6328125" bestFit="1" customWidth="1"/>
  </cols>
  <sheetData>
    <row r="1" spans="1:14" ht="23.5">
      <c r="A1" s="258" t="s">
        <v>199</v>
      </c>
      <c r="B1" s="258"/>
      <c r="C1" s="258"/>
      <c r="D1" s="258"/>
      <c r="E1" s="258"/>
      <c r="F1" s="258"/>
      <c r="G1" s="258"/>
      <c r="H1" s="258"/>
    </row>
    <row r="2" spans="1:14">
      <c r="A2" s="259" t="s">
        <v>200</v>
      </c>
      <c r="B2" s="259"/>
      <c r="C2" s="259"/>
      <c r="D2" s="259"/>
      <c r="E2" s="259"/>
      <c r="F2" s="259"/>
      <c r="G2" s="259"/>
      <c r="H2" s="259"/>
    </row>
    <row r="3" spans="1:14">
      <c r="A3" s="81" t="s">
        <v>201</v>
      </c>
      <c r="B3" s="99" t="s">
        <v>162</v>
      </c>
    </row>
    <row r="5" spans="1:14" ht="15.5">
      <c r="A5" s="260" t="s">
        <v>184</v>
      </c>
      <c r="B5" s="260"/>
      <c r="C5" s="260"/>
      <c r="D5" s="260"/>
      <c r="E5" s="260"/>
      <c r="F5" s="260"/>
      <c r="G5" s="260"/>
    </row>
    <row r="6" spans="1:14" ht="29">
      <c r="A6" s="94" t="s">
        <v>185</v>
      </c>
      <c r="B6" s="94" t="s">
        <v>291</v>
      </c>
      <c r="C6" s="94" t="s">
        <v>290</v>
      </c>
      <c r="D6" s="94" t="s">
        <v>223</v>
      </c>
      <c r="E6" s="94" t="s">
        <v>292</v>
      </c>
      <c r="F6" s="94" t="s">
        <v>293</v>
      </c>
      <c r="G6" s="94" t="s">
        <v>186</v>
      </c>
    </row>
    <row r="7" spans="1:14" ht="16.5">
      <c r="A7" s="70" t="s">
        <v>161</v>
      </c>
      <c r="B7" s="89">
        <v>3547</v>
      </c>
      <c r="C7" s="89">
        <v>144372</v>
      </c>
      <c r="D7" s="89">
        <v>1560</v>
      </c>
      <c r="E7" s="89">
        <f>+'Consolidado x metales'!K4</f>
        <v>132271682.01042511</v>
      </c>
      <c r="F7" s="89">
        <v>2340000</v>
      </c>
      <c r="G7" s="73">
        <v>0.29499999999999998</v>
      </c>
      <c r="I7" s="261" t="s">
        <v>287</v>
      </c>
      <c r="J7" s="161" t="s">
        <v>296</v>
      </c>
    </row>
    <row r="8" spans="1:14" ht="16.5">
      <c r="A8" s="70" t="s">
        <v>162</v>
      </c>
      <c r="B8" s="89">
        <v>2837.6</v>
      </c>
      <c r="C8" s="89">
        <v>122716.2</v>
      </c>
      <c r="D8" s="89">
        <f>+D7+(B47*D7)</f>
        <v>1747.2</v>
      </c>
      <c r="E8" s="89">
        <f>+E7+(E7*B48)</f>
        <v>142853416.57125911</v>
      </c>
      <c r="F8" s="89">
        <f>+F7+(F7*B49)</f>
        <v>2691000</v>
      </c>
      <c r="G8" s="73">
        <v>0.29499999999999998</v>
      </c>
      <c r="I8" s="261"/>
      <c r="J8" s="161" t="s">
        <v>297</v>
      </c>
    </row>
    <row r="9" spans="1:14" ht="16.5">
      <c r="A9" s="70" t="s">
        <v>163</v>
      </c>
      <c r="B9" s="89">
        <v>4256.3999999999996</v>
      </c>
      <c r="C9" s="89">
        <v>173246.4</v>
      </c>
      <c r="D9" s="89">
        <v>1435.2</v>
      </c>
      <c r="E9" s="89">
        <f>+E7+(E7*C48)</f>
        <v>125658097.90990385</v>
      </c>
      <c r="F9" s="89">
        <f>+F7+(F7*C49)</f>
        <v>2574000</v>
      </c>
      <c r="G9" s="73">
        <v>0.29499999999999998</v>
      </c>
      <c r="I9" s="261"/>
      <c r="J9" s="153" t="s">
        <v>295</v>
      </c>
    </row>
    <row r="10" spans="1:14" ht="16.5">
      <c r="I10" s="261" t="s">
        <v>288</v>
      </c>
      <c r="J10" s="161" t="s">
        <v>298</v>
      </c>
    </row>
    <row r="11" spans="1:14" ht="16.5">
      <c r="A11" s="260" t="s">
        <v>202</v>
      </c>
      <c r="B11" s="260"/>
      <c r="C11" s="260"/>
      <c r="E11" s="260" t="s">
        <v>203</v>
      </c>
      <c r="F11" s="260"/>
      <c r="G11" s="260"/>
      <c r="I11" s="261"/>
      <c r="J11" s="153" t="s">
        <v>294</v>
      </c>
    </row>
    <row r="12" spans="1:14" ht="16.5">
      <c r="A12" s="94" t="s">
        <v>204</v>
      </c>
      <c r="B12" s="94" t="s">
        <v>205</v>
      </c>
      <c r="C12" s="94" t="s">
        <v>206</v>
      </c>
      <c r="E12" s="94" t="s">
        <v>207</v>
      </c>
      <c r="F12" s="94" t="s">
        <v>301</v>
      </c>
      <c r="G12" s="94" t="s">
        <v>300</v>
      </c>
      <c r="I12" s="261"/>
      <c r="J12" s="161" t="s">
        <v>299</v>
      </c>
      <c r="K12" s="71"/>
      <c r="M12" s="87"/>
    </row>
    <row r="13" spans="1:14">
      <c r="A13" s="95" t="s">
        <v>219</v>
      </c>
      <c r="B13">
        <f>+_xlfn.XLOOKUP(B3,A7:A9,B7:B9)</f>
        <v>2837.6</v>
      </c>
      <c r="C13" s="86">
        <f>_xlfn.XLOOKUP($B$3,$A$7:$A$9,$B$7:$B$9)</f>
        <v>2837.6</v>
      </c>
      <c r="E13" s="70" t="s">
        <v>208</v>
      </c>
      <c r="F13" s="89">
        <f>B13*B14</f>
        <v>348219489.12</v>
      </c>
      <c r="G13" s="154">
        <f>+F13/F13</f>
        <v>1</v>
      </c>
    </row>
    <row r="14" spans="1:14">
      <c r="A14" s="95" t="s">
        <v>220</v>
      </c>
      <c r="B14">
        <f>+_xlfn.XLOOKUP($B$3,$A$7:$A$9,C7:C9)</f>
        <v>122716.2</v>
      </c>
      <c r="C14" s="86">
        <f>_xlfn.XLOOKUP($B$3,$A$7:$A$9,$C$7:$C$9)</f>
        <v>122716.2</v>
      </c>
      <c r="E14" s="88" t="s">
        <v>222</v>
      </c>
      <c r="F14" s="155">
        <f>B14*B15</f>
        <v>214409744.63999999</v>
      </c>
      <c r="G14" s="154">
        <f>+F14/F13</f>
        <v>0.61573160417254014</v>
      </c>
      <c r="H14" s="70"/>
      <c r="K14" s="71"/>
    </row>
    <row r="15" spans="1:14" ht="15" thickBot="1">
      <c r="A15" s="95" t="s">
        <v>221</v>
      </c>
      <c r="B15">
        <f>+_xlfn.XLOOKUP($B$3,$A$7:$A$9,D7:D9)</f>
        <v>1747.2</v>
      </c>
      <c r="C15" s="86">
        <f>_xlfn.XLOOKUP($B$3,$A$7:$A$9,$D$7:$D$9)</f>
        <v>1747.2</v>
      </c>
      <c r="E15" s="84" t="s">
        <v>209</v>
      </c>
      <c r="F15" s="156">
        <f>F14</f>
        <v>214409744.63999999</v>
      </c>
      <c r="G15" s="154">
        <f>+F15/F13</f>
        <v>0.61573160417254014</v>
      </c>
      <c r="K15" s="71"/>
    </row>
    <row r="16" spans="1:14">
      <c r="A16" s="95" t="s">
        <v>210</v>
      </c>
      <c r="B16">
        <f>+_xlfn.XLOOKUP($B$3,$A$7:$A$9,E7:E9)</f>
        <v>142853416.57125911</v>
      </c>
      <c r="C16" s="86">
        <f>_xlfn.XLOOKUP($B$3,$A$7:$A$9,$E$7:$E$9)</f>
        <v>142853416.57125911</v>
      </c>
      <c r="E16" s="96" t="s">
        <v>211</v>
      </c>
      <c r="F16" s="157">
        <f>F13-F15</f>
        <v>133809744.48000002</v>
      </c>
      <c r="G16" s="154">
        <f>+F16/F13</f>
        <v>0.38426839582745986</v>
      </c>
      <c r="I16" s="70">
        <v>3547</v>
      </c>
      <c r="J16" s="72">
        <v>144372</v>
      </c>
      <c r="K16">
        <v>1560</v>
      </c>
      <c r="L16">
        <v>132271682.01042511</v>
      </c>
      <c r="M16">
        <v>2340000</v>
      </c>
      <c r="N16">
        <v>0.29499999999999998</v>
      </c>
    </row>
    <row r="17" spans="1:18" ht="15" thickBot="1">
      <c r="A17" s="95" t="s">
        <v>212</v>
      </c>
      <c r="B17">
        <f>+_xlfn.XLOOKUP($B$3,$A$7:$A$9,F7:F9)</f>
        <v>2691000</v>
      </c>
      <c r="C17" s="86">
        <f>_xlfn.XLOOKUP($B$3,$A$7:$A$9,$F$7:$F$9)</f>
        <v>2691000</v>
      </c>
      <c r="E17" s="84" t="s">
        <v>213</v>
      </c>
      <c r="F17" s="156">
        <f>B16</f>
        <v>142853416.57125911</v>
      </c>
      <c r="G17" s="154">
        <f>+F17/F13</f>
        <v>0.41023957887098722</v>
      </c>
      <c r="I17">
        <v>2837.6</v>
      </c>
      <c r="J17">
        <v>122716.2</v>
      </c>
      <c r="K17">
        <v>1747.2</v>
      </c>
      <c r="L17">
        <v>142853416.57125911</v>
      </c>
      <c r="M17">
        <v>2691000</v>
      </c>
      <c r="N17">
        <v>0.29499999999999998</v>
      </c>
    </row>
    <row r="18" spans="1:18">
      <c r="A18" s="95" t="s">
        <v>214</v>
      </c>
      <c r="B18">
        <v>0.29499999999999998</v>
      </c>
      <c r="C18">
        <f>_xlfn.XLOOKUP($B$3,$A$7:$A$9,$G$7:$G$9)</f>
        <v>0.29499999999999998</v>
      </c>
      <c r="E18" s="97" t="s">
        <v>215</v>
      </c>
      <c r="F18" s="158">
        <f>F16-F17</f>
        <v>-9043672.0912590921</v>
      </c>
      <c r="G18" s="154">
        <f>+F18/F13</f>
        <v>-2.5971183043527326E-2</v>
      </c>
      <c r="I18">
        <v>4256.3999999999996</v>
      </c>
      <c r="J18">
        <v>173246.4</v>
      </c>
      <c r="K18">
        <v>1435.2</v>
      </c>
      <c r="L18">
        <v>125658097.90990384</v>
      </c>
      <c r="M18">
        <v>2574000</v>
      </c>
      <c r="N18">
        <v>0.29499999999999998</v>
      </c>
    </row>
    <row r="19" spans="1:18" ht="15" thickBot="1">
      <c r="E19" s="84" t="s">
        <v>190</v>
      </c>
      <c r="F19" s="156">
        <f>B17</f>
        <v>2691000</v>
      </c>
      <c r="G19" s="154">
        <f>+F19/F13</f>
        <v>7.7278845213418074E-3</v>
      </c>
      <c r="J19" s="107"/>
    </row>
    <row r="20" spans="1:18">
      <c r="E20" s="98" t="s">
        <v>216</v>
      </c>
      <c r="F20" s="159">
        <f>F18-F19</f>
        <v>-11734672.091259092</v>
      </c>
      <c r="G20" s="154">
        <f>+F20/F13</f>
        <v>-3.369906756486913E-2</v>
      </c>
    </row>
    <row r="21" spans="1:18" ht="15" thickBot="1">
      <c r="E21" s="84" t="s">
        <v>217</v>
      </c>
      <c r="F21" s="156">
        <f>+F20*B18</f>
        <v>-3461728.2669214318</v>
      </c>
      <c r="G21" s="154">
        <f>+F21/F13</f>
        <v>-9.9412249316363933E-3</v>
      </c>
    </row>
    <row r="22" spans="1:18">
      <c r="E22" s="85" t="s">
        <v>218</v>
      </c>
      <c r="F22" s="160">
        <f>F20-F21</f>
        <v>-8272943.8243376603</v>
      </c>
      <c r="G22" s="154">
        <f>+F22/F13</f>
        <v>-2.3757842633232738E-2</v>
      </c>
    </row>
    <row r="25" spans="1:18" ht="15.5">
      <c r="D25" s="257" t="s">
        <v>224</v>
      </c>
      <c r="E25" s="257"/>
      <c r="F25" s="257"/>
      <c r="G25" s="257"/>
      <c r="H25" s="257"/>
      <c r="I25" s="257"/>
      <c r="J25" s="257"/>
      <c r="K25" s="257"/>
    </row>
    <row r="26" spans="1:18" ht="15" thickBot="1">
      <c r="E26" s="82">
        <v>-0.3</v>
      </c>
      <c r="F26" s="82">
        <v>-0.2</v>
      </c>
      <c r="G26" s="82">
        <v>-0.1</v>
      </c>
      <c r="H26" s="82">
        <v>0</v>
      </c>
      <c r="I26" s="82">
        <v>0.1</v>
      </c>
      <c r="J26" s="82">
        <v>0.2</v>
      </c>
      <c r="K26" s="82">
        <v>0.3</v>
      </c>
      <c r="M26" s="89"/>
      <c r="N26" s="89"/>
      <c r="O26" s="89"/>
      <c r="P26" s="89"/>
      <c r="Q26" s="89"/>
      <c r="R26" s="73"/>
    </row>
    <row r="27" spans="1:18" ht="15" thickBot="1">
      <c r="A27" s="83"/>
      <c r="D27" s="100">
        <f>+F20</f>
        <v>-11734672.091259092</v>
      </c>
      <c r="E27" s="90">
        <v>2482.9</v>
      </c>
      <c r="F27" s="90">
        <v>2837.6000000000004</v>
      </c>
      <c r="G27" s="90">
        <v>3192.3</v>
      </c>
      <c r="H27" s="90">
        <v>3547</v>
      </c>
      <c r="I27" s="90">
        <v>3901.7000000000003</v>
      </c>
      <c r="J27" s="90">
        <v>4256.3999999999996</v>
      </c>
      <c r="K27" s="90">
        <v>4611.1000000000004</v>
      </c>
      <c r="M27" s="89"/>
      <c r="N27" s="89"/>
      <c r="O27" s="89"/>
      <c r="P27" s="89"/>
      <c r="Q27" s="89"/>
      <c r="R27" s="73"/>
    </row>
    <row r="28" spans="1:18">
      <c r="C28" s="82">
        <v>-0.2</v>
      </c>
      <c r="D28" s="91">
        <v>1248</v>
      </c>
      <c r="E28" s="72">
        <f t="dataTable" ref="E28:K32" dt2D="1" dtr="1" r1="B13" r2="B15"/>
        <v>5997818.8087409139</v>
      </c>
      <c r="F28" s="72">
        <v>49525254.948740959</v>
      </c>
      <c r="G28" s="72">
        <v>93052691.088740885</v>
      </c>
      <c r="H28" s="72">
        <v>136580127.22874084</v>
      </c>
      <c r="I28" s="72">
        <v>180107563.36874095</v>
      </c>
      <c r="J28" s="72">
        <v>223634999.50874081</v>
      </c>
      <c r="K28" s="101">
        <v>267162435.64874089</v>
      </c>
      <c r="M28" s="89"/>
      <c r="N28" s="89"/>
      <c r="O28" s="89"/>
      <c r="P28" s="89"/>
      <c r="Q28" s="89"/>
      <c r="R28" s="73"/>
    </row>
    <row r="29" spans="1:18">
      <c r="C29" s="82">
        <v>-0.1</v>
      </c>
      <c r="D29" s="91">
        <v>1404</v>
      </c>
      <c r="E29" s="72">
        <v>-13145908.391259074</v>
      </c>
      <c r="F29" s="72">
        <v>30381527.748740971</v>
      </c>
      <c r="G29" s="72">
        <v>73908963.888740897</v>
      </c>
      <c r="H29" s="72">
        <v>117436400.02874088</v>
      </c>
      <c r="I29" s="72">
        <v>160963836.1687409</v>
      </c>
      <c r="J29" s="102">
        <v>204491272.30874088</v>
      </c>
      <c r="K29" s="101">
        <v>248018708.44874099</v>
      </c>
    </row>
    <row r="30" spans="1:18">
      <c r="C30" s="82">
        <v>0</v>
      </c>
      <c r="D30" s="91">
        <v>1560</v>
      </c>
      <c r="E30" s="72">
        <v>-32289635.591259092</v>
      </c>
      <c r="F30" s="72">
        <v>11237800.548740953</v>
      </c>
      <c r="G30" s="72">
        <v>54765236.688740879</v>
      </c>
      <c r="H30" s="102">
        <v>98292672.828740865</v>
      </c>
      <c r="I30" s="72">
        <v>141820108.96874091</v>
      </c>
      <c r="J30" s="72">
        <v>185347545.10874084</v>
      </c>
      <c r="K30" s="72">
        <v>228874981.24874094</v>
      </c>
    </row>
    <row r="31" spans="1:18">
      <c r="C31" s="82">
        <v>0.1</v>
      </c>
      <c r="D31" s="91">
        <v>1716</v>
      </c>
      <c r="E31" s="72">
        <v>-51433362.79125908</v>
      </c>
      <c r="F31" s="102">
        <v>-7905926.6512590349</v>
      </c>
      <c r="G31" s="72">
        <v>35621509.488740891</v>
      </c>
      <c r="H31" s="72">
        <v>79148945.628740877</v>
      </c>
      <c r="I31" s="72">
        <v>122676381.76874092</v>
      </c>
      <c r="J31" s="72">
        <v>166203817.90874085</v>
      </c>
      <c r="K31" s="72">
        <v>209731254.04874095</v>
      </c>
      <c r="M31" s="107"/>
    </row>
    <row r="32" spans="1:18">
      <c r="C32" s="82">
        <v>0.2</v>
      </c>
      <c r="D32" s="91">
        <v>1872</v>
      </c>
      <c r="E32" s="72">
        <v>-70577089.991259098</v>
      </c>
      <c r="F32" s="72">
        <v>-27049653.851259053</v>
      </c>
      <c r="G32" s="72">
        <v>16477782.288740873</v>
      </c>
      <c r="H32" s="72">
        <v>60005218.428740859</v>
      </c>
      <c r="I32" s="72">
        <v>103532654.5687409</v>
      </c>
      <c r="J32" s="72">
        <v>147060090.70874086</v>
      </c>
      <c r="K32" s="72">
        <v>190587526.84874097</v>
      </c>
      <c r="M32" s="107"/>
      <c r="N32" s="107"/>
    </row>
    <row r="33" spans="1:14">
      <c r="F33" s="72"/>
      <c r="G33" s="72"/>
      <c r="H33" s="72"/>
      <c r="I33" s="72"/>
      <c r="J33" s="72"/>
      <c r="K33" s="72"/>
      <c r="M33" s="107"/>
      <c r="N33" s="107"/>
    </row>
    <row r="34" spans="1:14">
      <c r="F34" s="72"/>
      <c r="G34" s="72"/>
      <c r="H34" s="72"/>
      <c r="I34" s="72"/>
      <c r="J34" s="72"/>
      <c r="K34" s="72"/>
      <c r="M34" s="107"/>
      <c r="N34" s="107"/>
    </row>
    <row r="35" spans="1:14">
      <c r="F35" s="72"/>
      <c r="G35" s="72"/>
      <c r="H35" s="72"/>
      <c r="I35" s="72"/>
      <c r="J35" s="72"/>
      <c r="K35" s="72"/>
      <c r="M35" s="107"/>
      <c r="N35" s="107"/>
    </row>
    <row r="36" spans="1:14">
      <c r="F36" s="72"/>
      <c r="G36" s="72"/>
      <c r="H36" s="72"/>
      <c r="I36" s="72"/>
      <c r="J36" s="72"/>
      <c r="K36" s="72"/>
      <c r="M36" s="107"/>
      <c r="N36" s="107"/>
    </row>
    <row r="37" spans="1:14">
      <c r="F37" s="72"/>
      <c r="G37" s="72"/>
      <c r="H37" s="72"/>
      <c r="I37" s="72"/>
      <c r="J37" s="72"/>
      <c r="K37" s="72"/>
      <c r="M37" s="107"/>
      <c r="N37" s="107"/>
    </row>
    <row r="38" spans="1:14">
      <c r="F38" s="72"/>
      <c r="G38" s="72"/>
      <c r="H38" s="72"/>
      <c r="I38" s="72"/>
      <c r="J38" s="72"/>
      <c r="K38" s="72"/>
      <c r="M38" s="107"/>
      <c r="N38" s="107"/>
    </row>
    <row r="39" spans="1:14">
      <c r="F39" s="72"/>
      <c r="G39" s="72"/>
      <c r="H39" s="72"/>
      <c r="I39" s="72"/>
      <c r="J39" s="72"/>
      <c r="K39" s="72"/>
      <c r="M39" s="107"/>
      <c r="N39" s="107"/>
    </row>
    <row r="40" spans="1:14">
      <c r="F40" s="72"/>
      <c r="G40" s="72"/>
      <c r="H40" s="72"/>
      <c r="I40" s="72"/>
      <c r="J40" s="72"/>
      <c r="K40" s="72"/>
      <c r="M40" s="107"/>
      <c r="N40" s="107"/>
    </row>
    <row r="41" spans="1:14">
      <c r="F41" s="72"/>
      <c r="G41" s="72"/>
      <c r="H41" s="72"/>
      <c r="I41" s="72"/>
      <c r="J41" s="72"/>
      <c r="K41" s="72"/>
      <c r="M41" s="107"/>
      <c r="N41" s="107"/>
    </row>
    <row r="42" spans="1:14">
      <c r="F42" s="72"/>
      <c r="G42" s="72"/>
      <c r="H42" s="72"/>
      <c r="I42" s="72"/>
      <c r="J42" s="72"/>
      <c r="K42" s="72"/>
    </row>
    <row r="43" spans="1:14">
      <c r="A43" s="74" t="s">
        <v>289</v>
      </c>
      <c r="B43" s="75"/>
      <c r="C43" s="75"/>
      <c r="D43" s="75"/>
      <c r="E43" s="75"/>
      <c r="F43" s="75"/>
      <c r="G43" s="75"/>
      <c r="H43" s="75"/>
      <c r="I43" s="72"/>
      <c r="J43" s="72"/>
      <c r="K43" s="72"/>
    </row>
    <row r="44" spans="1:14" ht="69">
      <c r="A44" s="76" t="s">
        <v>187</v>
      </c>
      <c r="B44" s="76" t="s">
        <v>164</v>
      </c>
      <c r="C44" s="76" t="s">
        <v>165</v>
      </c>
      <c r="D44" s="76" t="s">
        <v>191</v>
      </c>
      <c r="E44" s="76"/>
      <c r="F44" s="76"/>
      <c r="G44" s="76"/>
      <c r="H44" s="76"/>
      <c r="I44" s="72"/>
      <c r="J44" s="72"/>
      <c r="K44" s="72"/>
    </row>
    <row r="45" spans="1:14">
      <c r="A45" s="77" t="s">
        <v>188</v>
      </c>
      <c r="B45" s="78">
        <v>-0.2</v>
      </c>
      <c r="C45" s="79">
        <v>0.2</v>
      </c>
      <c r="D45" s="256" t="s">
        <v>192</v>
      </c>
      <c r="E45" s="218"/>
      <c r="F45" s="218"/>
      <c r="G45" s="218"/>
      <c r="H45" s="218"/>
      <c r="I45" s="72"/>
      <c r="J45" s="72"/>
      <c r="K45" s="72"/>
    </row>
    <row r="46" spans="1:14">
      <c r="A46" s="77" t="s">
        <v>189</v>
      </c>
      <c r="B46" s="78">
        <v>-0.15</v>
      </c>
      <c r="C46" s="79">
        <v>0.2</v>
      </c>
      <c r="D46" s="256" t="s">
        <v>193</v>
      </c>
      <c r="E46" s="218"/>
      <c r="F46" s="218"/>
      <c r="G46" s="218"/>
      <c r="H46" s="218"/>
    </row>
    <row r="47" spans="1:14">
      <c r="A47" s="77" t="s">
        <v>194</v>
      </c>
      <c r="B47" s="78">
        <v>0.12</v>
      </c>
      <c r="C47" s="79">
        <v>-0.08</v>
      </c>
      <c r="D47" s="256" t="s">
        <v>195</v>
      </c>
      <c r="E47" s="218"/>
      <c r="F47" s="218"/>
      <c r="G47" s="218"/>
      <c r="H47" s="218"/>
    </row>
    <row r="48" spans="1:14">
      <c r="A48" s="77" t="s">
        <v>196</v>
      </c>
      <c r="B48" s="78">
        <v>0.08</v>
      </c>
      <c r="C48" s="79">
        <f>'[1]DATOS CENTRALES'!$B$32</f>
        <v>-0.05</v>
      </c>
      <c r="D48" s="256" t="s">
        <v>197</v>
      </c>
      <c r="E48" s="218"/>
      <c r="F48" s="218"/>
      <c r="G48" s="218"/>
      <c r="H48" s="218"/>
    </row>
    <row r="49" spans="1:8">
      <c r="A49" s="77" t="s">
        <v>190</v>
      </c>
      <c r="B49" s="78">
        <v>0.15</v>
      </c>
      <c r="C49" s="79">
        <v>0.1</v>
      </c>
      <c r="D49" s="256" t="s">
        <v>198</v>
      </c>
      <c r="E49" s="218"/>
      <c r="F49" s="218"/>
      <c r="G49" s="218"/>
      <c r="H49" s="218"/>
    </row>
  </sheetData>
  <scenarios current="2" show="0" sqref="F20">
    <scenario name="BASE" locked="1" count="6" user="CICELY GUILLEN" comment="Creado por CICELY GUILLEN el 22/09/2026">
      <inputCells r="B13" val="3547"/>
      <inputCells r="B14" val="144372"/>
      <inputCells r="B15" val="1560" numFmtId="2"/>
      <inputCells r="B16" val="132271682.010425"/>
      <inputCells r="B17" val="2340000"/>
      <inputCells r="B18" val="0.295"/>
    </scenario>
    <scenario name="OPTIMISTA" locked="1" count="6" user="CICELY GUILLEN" comment="Creado por CICELY GUILLEN el 22/09/2026">
      <inputCells r="B13" val="4256.4"/>
      <inputCells r="B14" val="173246.4"/>
      <inputCells r="B15" val="1435.2"/>
      <inputCells r="B16" val="125658097.909904"/>
      <inputCells r="B17" val="2574000"/>
      <inputCells r="B18" val="0.295"/>
    </scenario>
    <scenario name="PESIMISTA" locked="1" count="6" user="CICELY GUILLEN" comment="Creado por CICELY GUILLEN el 22/09/2026">
      <inputCells r="B13" val="2837.6"/>
      <inputCells r="B14" val="122716.2"/>
      <inputCells r="B15" val="1747.2"/>
      <inputCells r="B16" val="142853416.571259"/>
      <inputCells r="B17" val="2691000"/>
      <inputCells r="B18" val="0.295"/>
    </scenario>
  </scenarios>
  <mergeCells count="13">
    <mergeCell ref="D25:K25"/>
    <mergeCell ref="A1:H1"/>
    <mergeCell ref="A2:H2"/>
    <mergeCell ref="A5:G5"/>
    <mergeCell ref="A11:C11"/>
    <mergeCell ref="I10:I12"/>
    <mergeCell ref="I7:I9"/>
    <mergeCell ref="E11:G11"/>
    <mergeCell ref="D45:H45"/>
    <mergeCell ref="D46:H46"/>
    <mergeCell ref="D47:H47"/>
    <mergeCell ref="D48:H48"/>
    <mergeCell ref="D49:H49"/>
  </mergeCells>
  <dataValidations count="1">
    <dataValidation type="list" allowBlank="1" showInputMessage="1" showErrorMessage="1" sqref="B3" xr:uid="{00000000-0002-0000-0700-000000000000}">
      <formula1>"Base,Pesimista,Optimista"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B1:G16"/>
  <sheetViews>
    <sheetView showGridLines="0" workbookViewId="0"/>
  </sheetViews>
  <sheetFormatPr baseColWidth="10" defaultRowHeight="14.5" outlineLevelRow="1" outlineLevelCol="1"/>
  <cols>
    <col min="3" max="3" width="6.1796875" customWidth="1"/>
    <col min="4" max="7" width="15.1796875" bestFit="1" customWidth="1" outlineLevel="1"/>
  </cols>
  <sheetData>
    <row r="1" spans="2:7" ht="15" thickBot="1"/>
    <row r="2" spans="2:7" ht="15.5">
      <c r="B2" s="209" t="s">
        <v>227</v>
      </c>
      <c r="C2" s="209"/>
      <c r="D2" s="92"/>
      <c r="E2" s="92"/>
      <c r="F2" s="92"/>
      <c r="G2" s="92"/>
    </row>
    <row r="3" spans="2:7" ht="15.5" collapsed="1">
      <c r="B3" s="208"/>
      <c r="C3" s="208"/>
      <c r="D3" s="93" t="s">
        <v>229</v>
      </c>
      <c r="E3" s="93" t="s">
        <v>226</v>
      </c>
      <c r="F3" s="93" t="s">
        <v>165</v>
      </c>
      <c r="G3" s="93" t="s">
        <v>164</v>
      </c>
    </row>
    <row r="4" spans="2:7" ht="21" hidden="1" outlineLevel="1">
      <c r="B4" s="211"/>
      <c r="C4" s="211"/>
      <c r="E4" s="215" t="s">
        <v>327</v>
      </c>
      <c r="F4" s="215" t="s">
        <v>327</v>
      </c>
      <c r="G4" s="215" t="s">
        <v>327</v>
      </c>
    </row>
    <row r="5" spans="2:7">
      <c r="B5" s="212" t="s">
        <v>228</v>
      </c>
      <c r="C5" s="212"/>
      <c r="D5" s="210"/>
      <c r="E5" s="210"/>
      <c r="F5" s="210"/>
      <c r="G5" s="210"/>
    </row>
    <row r="6" spans="2:7" outlineLevel="1">
      <c r="B6" s="211"/>
      <c r="C6" s="211" t="s">
        <v>234</v>
      </c>
      <c r="D6">
        <v>2837.6</v>
      </c>
      <c r="E6" s="214">
        <v>3547</v>
      </c>
      <c r="F6" s="214">
        <v>4256.3999999999996</v>
      </c>
      <c r="G6" s="214">
        <v>2837.6</v>
      </c>
    </row>
    <row r="7" spans="2:7" outlineLevel="1">
      <c r="B7" s="211"/>
      <c r="C7" s="211" t="s">
        <v>235</v>
      </c>
      <c r="D7">
        <v>122716.2</v>
      </c>
      <c r="E7" s="214">
        <v>144372</v>
      </c>
      <c r="F7" s="214">
        <v>173246.4</v>
      </c>
      <c r="G7" s="214">
        <v>122716.2</v>
      </c>
    </row>
    <row r="8" spans="2:7" outlineLevel="1">
      <c r="B8" s="211"/>
      <c r="C8" s="211" t="s">
        <v>236</v>
      </c>
      <c r="D8">
        <v>1747.2</v>
      </c>
      <c r="E8" s="214">
        <v>1560</v>
      </c>
      <c r="F8" s="214">
        <v>1435.2</v>
      </c>
      <c r="G8" s="214">
        <v>1747.2</v>
      </c>
    </row>
    <row r="9" spans="2:7" outlineLevel="1">
      <c r="B9" s="211"/>
      <c r="C9" s="211" t="s">
        <v>237</v>
      </c>
      <c r="D9">
        <v>142853416.57125911</v>
      </c>
      <c r="E9" s="214">
        <v>132271682.01042511</v>
      </c>
      <c r="F9" s="214">
        <v>125658097.90990384</v>
      </c>
      <c r="G9" s="214">
        <v>142853416.57125911</v>
      </c>
    </row>
    <row r="10" spans="2:7" outlineLevel="1">
      <c r="B10" s="211"/>
      <c r="C10" s="211" t="s">
        <v>238</v>
      </c>
      <c r="D10">
        <v>2691000</v>
      </c>
      <c r="E10" s="214">
        <v>2340000</v>
      </c>
      <c r="F10" s="214">
        <v>2574000</v>
      </c>
      <c r="G10" s="214">
        <v>2691000</v>
      </c>
    </row>
    <row r="11" spans="2:7" outlineLevel="1">
      <c r="B11" s="211"/>
      <c r="C11" s="211" t="s">
        <v>239</v>
      </c>
      <c r="D11">
        <v>0.29499999999999998</v>
      </c>
      <c r="E11" s="214">
        <v>0.29499999999999998</v>
      </c>
      <c r="F11" s="214">
        <v>0.29499999999999998</v>
      </c>
      <c r="G11" s="214">
        <v>0.29499999999999998</v>
      </c>
    </row>
    <row r="12" spans="2:7">
      <c r="B12" s="212" t="s">
        <v>230</v>
      </c>
      <c r="C12" s="212"/>
      <c r="D12" s="210"/>
      <c r="E12" s="210"/>
      <c r="F12" s="210"/>
      <c r="G12" s="210"/>
    </row>
    <row r="13" spans="2:7" ht="15" outlineLevel="1" thickBot="1">
      <c r="B13" s="213"/>
      <c r="C13" s="213" t="s">
        <v>225</v>
      </c>
      <c r="D13" s="207">
        <v>-11734672.091259092</v>
      </c>
      <c r="E13" s="207">
        <v>152255481.98957491</v>
      </c>
      <c r="F13" s="207">
        <v>360530645.77009612</v>
      </c>
      <c r="G13" s="207">
        <v>-11734672.091259092</v>
      </c>
    </row>
    <row r="14" spans="2:7">
      <c r="B14" t="s">
        <v>231</v>
      </c>
    </row>
    <row r="15" spans="2:7">
      <c r="B15" t="s">
        <v>232</v>
      </c>
    </row>
    <row r="16" spans="2:7">
      <c r="B16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5"/>
  <sheetViews>
    <sheetView workbookViewId="0">
      <selection activeCell="A19" sqref="A19:B20"/>
    </sheetView>
  </sheetViews>
  <sheetFormatPr baseColWidth="10" defaultRowHeight="14.5"/>
  <cols>
    <col min="1" max="1" width="15.36328125" customWidth="1"/>
    <col min="2" max="2" width="29" customWidth="1"/>
  </cols>
  <sheetData>
    <row r="1" spans="1:2">
      <c r="A1" s="59" t="s">
        <v>240</v>
      </c>
      <c r="B1" t="s">
        <v>241</v>
      </c>
    </row>
    <row r="3" spans="1:2">
      <c r="A3" s="59" t="s">
        <v>328</v>
      </c>
      <c r="B3" t="s">
        <v>250</v>
      </c>
    </row>
    <row r="4" spans="1:2">
      <c r="A4" s="60" t="s">
        <v>226</v>
      </c>
      <c r="B4" s="69">
        <v>152255481.98957491</v>
      </c>
    </row>
    <row r="5" spans="1:2">
      <c r="A5" s="60" t="s">
        <v>165</v>
      </c>
      <c r="B5" s="69">
        <v>360530645.77009612</v>
      </c>
    </row>
    <row r="6" spans="1:2">
      <c r="A6" s="60" t="s">
        <v>164</v>
      </c>
      <c r="B6" s="69">
        <v>-11734672.091259092</v>
      </c>
    </row>
    <row r="17" spans="1:8" ht="23.5">
      <c r="A17" s="258" t="s">
        <v>251</v>
      </c>
      <c r="B17" s="258"/>
      <c r="C17" s="258"/>
      <c r="D17" s="258"/>
      <c r="E17" s="258"/>
      <c r="F17" s="258"/>
      <c r="G17" s="258"/>
      <c r="H17" s="258"/>
    </row>
    <row r="18" spans="1:8">
      <c r="A18" s="264" t="s">
        <v>245</v>
      </c>
      <c r="B18" s="264"/>
      <c r="C18" s="264" t="s">
        <v>246</v>
      </c>
      <c r="D18" s="264"/>
      <c r="E18" s="264" t="s">
        <v>247</v>
      </c>
      <c r="F18" s="264"/>
      <c r="G18" s="264" t="s">
        <v>248</v>
      </c>
      <c r="H18" s="264"/>
    </row>
    <row r="19" spans="1:8">
      <c r="A19" s="265" t="str">
        <f>+'ESCENARIO DE ORO'!B3</f>
        <v>Pesimista</v>
      </c>
      <c r="B19" s="265"/>
      <c r="C19" s="266">
        <f>+'ESCENARIO DE ORO'!F13</f>
        <v>348219489.12</v>
      </c>
      <c r="D19" s="266"/>
      <c r="E19" s="266">
        <f>+'ESCENARIO DE ORO'!F22</f>
        <v>-8272943.8243376603</v>
      </c>
      <c r="F19" s="266"/>
      <c r="G19" s="267">
        <f>IFERROR('ESCENARIO DE ORO'!F22/'ESCENARIO DE ORO'!F13,0)</f>
        <v>-2.3757842633232738E-2</v>
      </c>
      <c r="H19" s="267"/>
    </row>
    <row r="20" spans="1:8">
      <c r="A20" s="265"/>
      <c r="B20" s="265"/>
      <c r="C20" s="266"/>
      <c r="D20" s="266"/>
      <c r="E20" s="266"/>
      <c r="F20" s="266"/>
      <c r="G20" s="267"/>
      <c r="H20" s="267"/>
    </row>
    <row r="22" spans="1:8" ht="15.5">
      <c r="A22" s="262" t="s">
        <v>249</v>
      </c>
      <c r="B22" s="262"/>
      <c r="C22" s="262"/>
      <c r="D22" s="262"/>
      <c r="E22" s="262"/>
      <c r="F22" s="262"/>
      <c r="G22" s="262"/>
      <c r="H22" s="262"/>
    </row>
    <row r="23" spans="1:8">
      <c r="A23" s="263" t="str">
        <f>"En el escenario "&amp;A19&amp;", las ventas son $ "&amp;ROUND(C19/1000000,2)&amp;" y la utilidad neta es $ "&amp;ROUND(E19/1000000,2)&amp;". El costo del oro/onz representa "&amp;ROUND(G19*100,2)&amp;"% de las ventas. "</f>
        <v xml:space="preserve">En el escenario Pesimista, las ventas son $ 348.22 y la utilidad neta es $ -8.27. El costo del oro/onz representa -2.38% de las ventas. </v>
      </c>
      <c r="B23" s="263"/>
      <c r="C23" s="263"/>
      <c r="D23" s="263"/>
      <c r="E23" s="263"/>
      <c r="F23" s="263"/>
      <c r="G23" s="263"/>
      <c r="H23" s="263"/>
    </row>
    <row r="24" spans="1:8">
      <c r="A24" s="263"/>
      <c r="B24" s="263"/>
      <c r="C24" s="263"/>
      <c r="D24" s="263"/>
      <c r="E24" s="263"/>
      <c r="F24" s="263"/>
      <c r="G24" s="263"/>
      <c r="H24" s="263"/>
    </row>
    <row r="25" spans="1:8">
      <c r="A25" s="263"/>
      <c r="B25" s="263"/>
      <c r="C25" s="263"/>
      <c r="D25" s="263"/>
      <c r="E25" s="263"/>
      <c r="F25" s="263"/>
      <c r="G25" s="263"/>
      <c r="H25" s="263"/>
    </row>
  </sheetData>
  <mergeCells count="11">
    <mergeCell ref="A22:H22"/>
    <mergeCell ref="A23:H25"/>
    <mergeCell ref="A17:H17"/>
    <mergeCell ref="A18:B18"/>
    <mergeCell ref="C18:D18"/>
    <mergeCell ref="E18:F18"/>
    <mergeCell ref="G18:H18"/>
    <mergeCell ref="A19:B20"/>
    <mergeCell ref="C19:D20"/>
    <mergeCell ref="E19:F20"/>
    <mergeCell ref="G19:H20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9"/>
  <sheetViews>
    <sheetView topLeftCell="A33" workbookViewId="0">
      <selection activeCell="B86" sqref="B86"/>
    </sheetView>
  </sheetViews>
  <sheetFormatPr baseColWidth="10" defaultColWidth="8.81640625" defaultRowHeight="14.5"/>
  <cols>
    <col min="1" max="1" width="74" customWidth="1"/>
    <col min="2" max="2" width="69" customWidth="1"/>
    <col min="3" max="3" width="71" customWidth="1"/>
    <col min="4" max="4" width="74" customWidth="1"/>
  </cols>
  <sheetData>
    <row r="1" spans="1:3" ht="21">
      <c r="A1" s="292" t="s">
        <v>167</v>
      </c>
      <c r="B1" s="292"/>
      <c r="C1" s="292"/>
    </row>
    <row r="2" spans="1:3">
      <c r="A2" s="301" t="s">
        <v>244</v>
      </c>
      <c r="B2" s="301"/>
      <c r="C2" s="301"/>
    </row>
    <row r="3" spans="1:3">
      <c r="A3" s="56" t="s">
        <v>302</v>
      </c>
    </row>
    <row r="4" spans="1:3">
      <c r="A4" s="58" t="s">
        <v>168</v>
      </c>
      <c r="B4" s="52">
        <f>+Tablametales[[#This Row],[INGRESOS TOTALES (USD)]]</f>
        <v>512087484</v>
      </c>
      <c r="C4" s="274" t="s">
        <v>308</v>
      </c>
    </row>
    <row r="5" spans="1:3">
      <c r="A5" s="58" t="s">
        <v>166</v>
      </c>
      <c r="B5" s="52">
        <f>+'Consolidado x metales'!C4</f>
        <v>242590075</v>
      </c>
      <c r="C5" s="275"/>
    </row>
    <row r="6" spans="1:3">
      <c r="A6" s="58" t="s">
        <v>169</v>
      </c>
      <c r="B6" s="52">
        <f>B4-B5</f>
        <v>269497409</v>
      </c>
      <c r="C6" s="275"/>
    </row>
    <row r="7" spans="1:3">
      <c r="A7" s="164" t="s">
        <v>170</v>
      </c>
      <c r="B7" s="165">
        <f>B6/B4</f>
        <v>0.52627220430171651</v>
      </c>
      <c r="C7" s="275"/>
    </row>
    <row r="8" spans="1:3">
      <c r="A8" s="58" t="s">
        <v>171</v>
      </c>
      <c r="B8" s="52">
        <f>+'ESCENARIO DE ORO'!E7</f>
        <v>132271682.01042511</v>
      </c>
      <c r="C8" s="275"/>
    </row>
    <row r="9" spans="1:3">
      <c r="A9" s="166" t="s">
        <v>172</v>
      </c>
      <c r="B9" s="167">
        <f>B8/B7</f>
        <v>251337009.49669114</v>
      </c>
      <c r="C9" s="275"/>
    </row>
    <row r="10" spans="1:3">
      <c r="A10" s="57" t="s">
        <v>173</v>
      </c>
      <c r="B10" s="53">
        <f>B4-B9</f>
        <v>260750474.50330886</v>
      </c>
      <c r="C10" s="275"/>
    </row>
    <row r="11" spans="1:3" ht="16" customHeight="1">
      <c r="A11" s="166" t="s">
        <v>174</v>
      </c>
      <c r="B11" s="168">
        <f>B10/B4</f>
        <v>0.50919126643467982</v>
      </c>
      <c r="C11" s="275"/>
    </row>
    <row r="12" spans="1:3" ht="17" customHeight="1" thickBot="1">
      <c r="C12" s="275"/>
    </row>
    <row r="13" spans="1:3" ht="16" customHeight="1">
      <c r="A13" s="299" t="s">
        <v>243</v>
      </c>
      <c r="B13" s="300"/>
      <c r="C13" s="275"/>
    </row>
    <row r="14" spans="1:3" ht="15" customHeight="1">
      <c r="A14" s="270" t="str">
        <f>+"El oro vende USD "&amp;ROUND(B4/1000000,2)&amp;" millones y solo necesita USD  "&amp;ROUND(B9/1000000,2)&amp;"  para cubrir sus costos fijos de USD "&amp;ROUND(B8/1000000,2)&amp;" millones y no perder dinero. El oro tiene un colchón de USD  "&amp;ROUND(B10/1000000,2)&amp;" y sus ventas tendrían que caer más del "&amp;ROUND(B11*100,2)&amp;"% antes de que la linea empiece a generar perdidas."</f>
        <v>El oro vende USD 512.09 millones y solo necesita USD  251.34  para cubrir sus costos fijos de USD 132.27 millones y no perder dinero. El oro tiene un colchón de USD  260.75 y sus ventas tendrían que caer más del 50.92% antes de que la linea empiece a generar perdidas.</v>
      </c>
      <c r="B14" s="271"/>
      <c r="C14" s="276"/>
    </row>
    <row r="15" spans="1:3" ht="16" customHeight="1" thickBot="1">
      <c r="A15" s="272"/>
      <c r="B15" s="273"/>
    </row>
    <row r="17" spans="1:3" ht="21">
      <c r="A17" s="292" t="s">
        <v>167</v>
      </c>
      <c r="B17" s="292"/>
      <c r="C17" s="292"/>
    </row>
    <row r="18" spans="1:3">
      <c r="A18" s="302" t="s">
        <v>303</v>
      </c>
      <c r="B18" s="302"/>
      <c r="C18" s="302"/>
    </row>
    <row r="19" spans="1:3">
      <c r="A19" s="56" t="s">
        <v>302</v>
      </c>
    </row>
    <row r="20" spans="1:3">
      <c r="A20" s="58" t="s">
        <v>168</v>
      </c>
      <c r="B20" s="52">
        <f>+'Consolidado x metales'!B5</f>
        <v>664099986.26000011</v>
      </c>
      <c r="C20" s="277" t="s">
        <v>309</v>
      </c>
    </row>
    <row r="21" spans="1:3">
      <c r="A21" s="58" t="s">
        <v>166</v>
      </c>
      <c r="B21" s="52">
        <f>+'Consolidado x metales'!C5</f>
        <v>282782837.40000004</v>
      </c>
      <c r="C21" s="278"/>
    </row>
    <row r="22" spans="1:3">
      <c r="A22" s="58" t="s">
        <v>169</v>
      </c>
      <c r="B22" s="52">
        <f>B20-B21</f>
        <v>381317148.86000007</v>
      </c>
      <c r="C22" s="278"/>
    </row>
    <row r="23" spans="1:3">
      <c r="A23" s="175" t="s">
        <v>170</v>
      </c>
      <c r="B23" s="176">
        <f>B22/B20</f>
        <v>0.57418635258141926</v>
      </c>
      <c r="C23" s="278"/>
    </row>
    <row r="24" spans="1:3">
      <c r="A24" s="58" t="s">
        <v>171</v>
      </c>
      <c r="B24" s="52">
        <f>+'Consolidado x metales'!K5</f>
        <v>96700274.445722729</v>
      </c>
      <c r="C24" s="278"/>
    </row>
    <row r="25" spans="1:3">
      <c r="A25" s="177" t="s">
        <v>172</v>
      </c>
      <c r="B25" s="178">
        <f>B24/B23</f>
        <v>168412700.8783454</v>
      </c>
      <c r="C25" s="278"/>
    </row>
    <row r="26" spans="1:3">
      <c r="A26" s="57" t="s">
        <v>173</v>
      </c>
      <c r="B26" s="53">
        <f>B20-B25</f>
        <v>495687285.38165474</v>
      </c>
      <c r="C26" s="278"/>
    </row>
    <row r="27" spans="1:3">
      <c r="A27" s="177" t="s">
        <v>174</v>
      </c>
      <c r="B27" s="179">
        <f>B26/B20</f>
        <v>0.74640460117038676</v>
      </c>
      <c r="C27" s="278"/>
    </row>
    <row r="28" spans="1:3" ht="15" thickBot="1">
      <c r="C28" s="278"/>
    </row>
    <row r="29" spans="1:3">
      <c r="A29" s="297" t="s">
        <v>243</v>
      </c>
      <c r="B29" s="298"/>
      <c r="C29" s="278"/>
    </row>
    <row r="30" spans="1:3" ht="15" customHeight="1">
      <c r="A30" s="270" t="str">
        <f>+"La plata vende USD "&amp;ROUND(B20/1000000,2)&amp;" millones y solo necesita USD  "&amp;ROUND(B25/1000000,2)&amp;"  para cubrir sus costos fijos de USD "&amp;ROUND(B24/1000000,2)&amp;" millones y no perder dinero. La plata tiene un colchón de USD  "&amp;ROUND(B26/1000000,2)&amp;" y sus ventas tendrían que caer más del "&amp;ROUND(B27*100,2)&amp;"% antes de que la linea empiece a generar perdidas."</f>
        <v>La plata vende USD 664.1 millones y solo necesita USD  168.41  para cubrir sus costos fijos de USD 96.7 millones y no perder dinero. La plata tiene un colchón de USD  495.69 y sus ventas tendrían que caer más del 74.64% antes de que la linea empiece a generar perdidas.</v>
      </c>
      <c r="B30" s="271"/>
      <c r="C30" s="279"/>
    </row>
    <row r="31" spans="1:3" ht="16" customHeight="1" thickBot="1">
      <c r="A31" s="272"/>
      <c r="B31" s="273"/>
    </row>
    <row r="33" spans="1:3" ht="21">
      <c r="A33" s="292" t="s">
        <v>167</v>
      </c>
      <c r="B33" s="292"/>
      <c r="C33" s="292"/>
    </row>
    <row r="34" spans="1:3">
      <c r="A34" s="294" t="s">
        <v>304</v>
      </c>
      <c r="B34" s="294"/>
      <c r="C34" s="294"/>
    </row>
    <row r="35" spans="1:3">
      <c r="A35" s="56" t="s">
        <v>302</v>
      </c>
    </row>
    <row r="36" spans="1:3">
      <c r="A36" s="58" t="s">
        <v>168</v>
      </c>
      <c r="B36" s="52">
        <f>+'Consolidado x metales'!B6</f>
        <v>526239963</v>
      </c>
      <c r="C36" s="280" t="s">
        <v>310</v>
      </c>
    </row>
    <row r="37" spans="1:3">
      <c r="A37" s="58" t="s">
        <v>166</v>
      </c>
      <c r="B37" s="52">
        <f>+'Consolidado x metales'!C6</f>
        <v>336271221</v>
      </c>
      <c r="C37" s="281"/>
    </row>
    <row r="38" spans="1:3">
      <c r="A38" s="58" t="s">
        <v>169</v>
      </c>
      <c r="B38" s="52">
        <f>B36-B37</f>
        <v>189968742</v>
      </c>
      <c r="C38" s="281"/>
    </row>
    <row r="39" spans="1:3">
      <c r="A39" s="162" t="s">
        <v>170</v>
      </c>
      <c r="B39" s="163">
        <f>B38/B36</f>
        <v>0.36099261811478961</v>
      </c>
      <c r="C39" s="281"/>
    </row>
    <row r="40" spans="1:3">
      <c r="A40" s="58" t="s">
        <v>171</v>
      </c>
      <c r="B40" s="52">
        <f>+'Consolidado x metales'!K6</f>
        <v>45522681.507996656</v>
      </c>
      <c r="C40" s="281"/>
    </row>
    <row r="41" spans="1:3">
      <c r="A41" s="169" t="s">
        <v>172</v>
      </c>
      <c r="B41" s="170">
        <f>B40/B39</f>
        <v>126104189.45885815</v>
      </c>
      <c r="C41" s="281"/>
    </row>
    <row r="42" spans="1:3">
      <c r="A42" s="57" t="s">
        <v>173</v>
      </c>
      <c r="B42" s="53">
        <f>B36-B41</f>
        <v>400135773.54114187</v>
      </c>
      <c r="C42" s="281"/>
    </row>
    <row r="43" spans="1:3">
      <c r="A43" s="169" t="s">
        <v>174</v>
      </c>
      <c r="B43" s="171">
        <f>B42/B36</f>
        <v>0.76036751610432496</v>
      </c>
      <c r="C43" s="281"/>
    </row>
    <row r="44" spans="1:3" ht="15" thickBot="1">
      <c r="C44" s="281"/>
    </row>
    <row r="45" spans="1:3">
      <c r="A45" s="295" t="s">
        <v>243</v>
      </c>
      <c r="B45" s="296"/>
      <c r="C45" s="281"/>
    </row>
    <row r="46" spans="1:3" ht="15" customHeight="1">
      <c r="A46" s="270" t="str">
        <f>+"El cobre vende USD "&amp;ROUND(B36/1000000,2)&amp;" millones y solo necesita USD  "&amp;ROUND(B41/1000000,2)&amp;"  para cubrir sus costos fijos de USD "&amp;ROUND(B40/1000000,2)&amp;" millones y no perder dinero. El cobre tiene un colchón de USD  "&amp;ROUND(B42/1000000,2)&amp;" y sus ventas tendrían que caer más del "&amp;ROUND(B43*100,2)&amp;"% antes de que la linea empiece a generar perdidas."</f>
        <v>El cobre vende USD 526.24 millones y solo necesita USD  126.1  para cubrir sus costos fijos de USD 45.52 millones y no perder dinero. El cobre tiene un colchón de USD  400.14 y sus ventas tendrían que caer más del 76.04% antes de que la linea empiece a generar perdidas.</v>
      </c>
      <c r="B46" s="271"/>
      <c r="C46" s="282"/>
    </row>
    <row r="47" spans="1:3" ht="16" customHeight="1" thickBot="1">
      <c r="A47" s="272"/>
      <c r="B47" s="273"/>
    </row>
    <row r="49" spans="1:3" ht="21">
      <c r="A49" s="292" t="s">
        <v>167</v>
      </c>
      <c r="B49" s="292"/>
      <c r="C49" s="292"/>
    </row>
    <row r="50" spans="1:3">
      <c r="A50" s="289" t="s">
        <v>305</v>
      </c>
      <c r="B50" s="289"/>
      <c r="C50" s="289"/>
    </row>
    <row r="51" spans="1:3">
      <c r="A51" s="56" t="s">
        <v>302</v>
      </c>
    </row>
    <row r="52" spans="1:3">
      <c r="A52" s="58" t="s">
        <v>168</v>
      </c>
      <c r="B52" s="52">
        <f>+'Consolidado x metales'!B8</f>
        <v>82532880</v>
      </c>
      <c r="C52" s="283" t="s">
        <v>311</v>
      </c>
    </row>
    <row r="53" spans="1:3">
      <c r="A53" s="58" t="s">
        <v>166</v>
      </c>
      <c r="B53" s="52">
        <f>+'Consolidado x metales'!C8</f>
        <v>33883474</v>
      </c>
      <c r="C53" s="284"/>
    </row>
    <row r="54" spans="1:3">
      <c r="A54" s="58" t="s">
        <v>169</v>
      </c>
      <c r="B54" s="52">
        <f>B52-B53</f>
        <v>48649406</v>
      </c>
      <c r="C54" s="284"/>
    </row>
    <row r="55" spans="1:3">
      <c r="A55" s="180" t="s">
        <v>170</v>
      </c>
      <c r="B55" s="181">
        <f>B54/B52</f>
        <v>0.58945484514777624</v>
      </c>
      <c r="C55" s="284"/>
    </row>
    <row r="56" spans="1:3">
      <c r="A56" s="58" t="s">
        <v>171</v>
      </c>
      <c r="B56" s="52">
        <f>+'Consolidado x metales'!K8</f>
        <v>9754467.4212636091</v>
      </c>
      <c r="C56" s="284"/>
    </row>
    <row r="57" spans="1:3">
      <c r="A57" s="104" t="s">
        <v>172</v>
      </c>
      <c r="B57" s="105">
        <f>B56/B55</f>
        <v>16548286.101233361</v>
      </c>
      <c r="C57" s="284"/>
    </row>
    <row r="58" spans="1:3">
      <c r="A58" s="57" t="s">
        <v>173</v>
      </c>
      <c r="B58" s="53">
        <f>B52-B57</f>
        <v>65984593.898766637</v>
      </c>
      <c r="C58" s="284"/>
    </row>
    <row r="59" spans="1:3">
      <c r="A59" s="104" t="s">
        <v>174</v>
      </c>
      <c r="B59" s="106">
        <f>B58/B52</f>
        <v>0.79949462443048924</v>
      </c>
      <c r="C59" s="284"/>
    </row>
    <row r="60" spans="1:3" ht="15" thickBot="1">
      <c r="C60" s="284"/>
    </row>
    <row r="61" spans="1:3">
      <c r="A61" s="290" t="s">
        <v>243</v>
      </c>
      <c r="B61" s="291"/>
      <c r="C61" s="284"/>
    </row>
    <row r="62" spans="1:3" ht="15" customHeight="1">
      <c r="A62" s="270" t="str">
        <f>+"El zinc vende USD "&amp;ROUND(B52/1000000,2)&amp;" millones y solo necesita USD  "&amp;ROUND(B57/1000000,2)&amp;"  para cubrir sus costos fijos de USD "&amp;ROUND(B56/1000000,2)&amp;" millones y no perder dinero. El zinc tiene un colchón de USD  "&amp;ROUND(B58/1000000,2)&amp;" y sus ventas tendrían que caer más del "&amp;ROUND(B59*100,2)&amp;"% antes de que la linea empiece a generar perdidas."</f>
        <v>El zinc vende USD 82.53 millones y solo necesita USD  16.55  para cubrir sus costos fijos de USD 9.75 millones y no perder dinero. El zinc tiene un colchón de USD  65.98 y sus ventas tendrían que caer más del 79.95% antes de que la linea empiece a generar perdidas.</v>
      </c>
      <c r="B62" s="271"/>
      <c r="C62" s="285"/>
    </row>
    <row r="63" spans="1:3" ht="16" customHeight="1" thickBot="1">
      <c r="A63" s="272"/>
      <c r="B63" s="273"/>
    </row>
    <row r="65" spans="1:3" ht="21">
      <c r="A65" s="292" t="s">
        <v>167</v>
      </c>
      <c r="B65" s="292"/>
      <c r="C65" s="292"/>
    </row>
    <row r="66" spans="1:3">
      <c r="A66" s="293" t="s">
        <v>306</v>
      </c>
      <c r="B66" s="293"/>
      <c r="C66" s="293"/>
    </row>
    <row r="67" spans="1:3">
      <c r="A67" s="56" t="s">
        <v>302</v>
      </c>
    </row>
    <row r="68" spans="1:3">
      <c r="A68" s="58" t="s">
        <v>168</v>
      </c>
      <c r="B68" s="52">
        <f>+'Consolidado x metales'!B7</f>
        <v>37213256</v>
      </c>
      <c r="C68" s="286" t="s">
        <v>312</v>
      </c>
    </row>
    <row r="69" spans="1:3">
      <c r="A69" s="58" t="s">
        <v>166</v>
      </c>
      <c r="B69" s="52">
        <f>+'Consolidado x metales'!C7</f>
        <v>13607350</v>
      </c>
      <c r="C69" s="287"/>
    </row>
    <row r="70" spans="1:3">
      <c r="A70" s="58" t="s">
        <v>169</v>
      </c>
      <c r="B70" s="52">
        <f>B68-B69</f>
        <v>23605906</v>
      </c>
      <c r="C70" s="287"/>
    </row>
    <row r="71" spans="1:3">
      <c r="A71" s="182" t="s">
        <v>170</v>
      </c>
      <c r="B71" s="183">
        <f>B70/B68</f>
        <v>0.63434132181285074</v>
      </c>
      <c r="C71" s="287"/>
    </row>
    <row r="72" spans="1:3">
      <c r="A72" s="58" t="s">
        <v>171</v>
      </c>
      <c r="B72" s="52">
        <f>+'Consolidado x metales'!K7</f>
        <v>5450894.6145919161</v>
      </c>
      <c r="C72" s="287"/>
    </row>
    <row r="73" spans="1:3">
      <c r="A73" s="184" t="s">
        <v>172</v>
      </c>
      <c r="B73" s="185">
        <f>B72/B71</f>
        <v>8592999.4265769888</v>
      </c>
      <c r="C73" s="287"/>
    </row>
    <row r="74" spans="1:3">
      <c r="A74" s="57" t="s">
        <v>173</v>
      </c>
      <c r="B74" s="53">
        <f>B68-B73</f>
        <v>28620256.573423013</v>
      </c>
      <c r="C74" s="287"/>
    </row>
    <row r="75" spans="1:3">
      <c r="A75" s="184" t="s">
        <v>174</v>
      </c>
      <c r="B75" s="186">
        <f>B74/B68</f>
        <v>0.76908767599973016</v>
      </c>
      <c r="C75" s="287"/>
    </row>
    <row r="76" spans="1:3" ht="15" thickBot="1">
      <c r="C76" s="287"/>
    </row>
    <row r="77" spans="1:3">
      <c r="A77" s="268" t="s">
        <v>243</v>
      </c>
      <c r="B77" s="269"/>
      <c r="C77" s="287"/>
    </row>
    <row r="78" spans="1:3" ht="15" customHeight="1">
      <c r="A78" s="270" t="str">
        <f>+"El plomo vende USD "&amp;ROUND(B68/1000000,2)&amp;" millones y solo necesita USD  "&amp;ROUND(B73/1000000,2)&amp;"  para cubrir sus costos fijos de USD "&amp;ROUND(B72/1000000,2)&amp;" millones y no perder dinero. El plomo tiene un colchón de USD  "&amp;ROUND(B74/1000000,2)&amp;" y sus ventas tendrían que caer más del "&amp;ROUND(B75*100,2)&amp;"% antes de que la linea empiece a generar perdidas."</f>
        <v>El plomo vende USD 37.21 millones y solo necesita USD  8.59  para cubrir sus costos fijos de USD 5.45 millones y no perder dinero. El plomo tiene un colchón de USD  28.62 y sus ventas tendrían que caer más del 76.91% antes de que la linea empiece a generar perdidas.</v>
      </c>
      <c r="B78" s="271"/>
      <c r="C78" s="288"/>
    </row>
    <row r="79" spans="1:3" ht="16" customHeight="1" thickBot="1">
      <c r="A79" s="272"/>
      <c r="B79" s="273"/>
    </row>
  </sheetData>
  <mergeCells count="25">
    <mergeCell ref="A46:B47"/>
    <mergeCell ref="A49:C49"/>
    <mergeCell ref="A29:B29"/>
    <mergeCell ref="A1:C1"/>
    <mergeCell ref="A14:B15"/>
    <mergeCell ref="A13:B13"/>
    <mergeCell ref="A2:C2"/>
    <mergeCell ref="A17:C17"/>
    <mergeCell ref="A18:C18"/>
    <mergeCell ref="A77:B77"/>
    <mergeCell ref="A78:B79"/>
    <mergeCell ref="A30:B31"/>
    <mergeCell ref="C4:C14"/>
    <mergeCell ref="C20:C30"/>
    <mergeCell ref="C36:C46"/>
    <mergeCell ref="C52:C62"/>
    <mergeCell ref="C68:C78"/>
    <mergeCell ref="A50:C50"/>
    <mergeCell ref="A61:B61"/>
    <mergeCell ref="A62:B63"/>
    <mergeCell ref="A65:C65"/>
    <mergeCell ref="A66:C66"/>
    <mergeCell ref="A33:C33"/>
    <mergeCell ref="A34:C34"/>
    <mergeCell ref="A45:B4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31"/>
  <sheetViews>
    <sheetView showGridLines="0" topLeftCell="A6" zoomScaleNormal="100" workbookViewId="0">
      <selection activeCell="B7" sqref="B7"/>
    </sheetView>
  </sheetViews>
  <sheetFormatPr baseColWidth="10" defaultColWidth="8.6328125" defaultRowHeight="14.5"/>
  <cols>
    <col min="1" max="1" width="46" style="108" customWidth="1"/>
    <col min="2" max="2" width="22" style="108" customWidth="1"/>
    <col min="3" max="3" width="23.453125" style="108" customWidth="1"/>
    <col min="4" max="4" width="24.36328125" style="108" customWidth="1"/>
    <col min="5" max="5" width="14" style="108" customWidth="1"/>
    <col min="6" max="6" width="30" style="108" customWidth="1"/>
    <col min="7" max="16384" width="8.6328125" style="108"/>
  </cols>
  <sheetData>
    <row r="1" spans="1:5" ht="18" customHeight="1">
      <c r="A1" s="304" t="s">
        <v>252</v>
      </c>
      <c r="B1" s="304"/>
      <c r="C1" s="304"/>
      <c r="D1" s="304"/>
      <c r="E1" s="304"/>
    </row>
    <row r="2" spans="1:5" ht="15" customHeight="1">
      <c r="A2" s="304"/>
      <c r="B2" s="304"/>
      <c r="C2" s="304"/>
      <c r="D2" s="304"/>
      <c r="E2" s="304"/>
    </row>
    <row r="3" spans="1:5" ht="15" customHeight="1">
      <c r="A3" s="304"/>
      <c r="B3" s="304"/>
      <c r="C3" s="304"/>
      <c r="D3" s="304"/>
      <c r="E3" s="304"/>
    </row>
    <row r="4" spans="1:5" ht="15" customHeight="1">
      <c r="A4" s="304"/>
      <c r="B4" s="304"/>
      <c r="C4" s="304"/>
      <c r="D4" s="304"/>
      <c r="E4" s="304"/>
    </row>
    <row r="5" spans="1:5">
      <c r="A5" s="305" t="s">
        <v>307</v>
      </c>
      <c r="B5" s="305"/>
      <c r="C5" s="305"/>
      <c r="D5" s="305"/>
      <c r="E5" s="305"/>
    </row>
    <row r="6" spans="1:5" ht="30" customHeight="1">
      <c r="A6" s="172" t="s">
        <v>23</v>
      </c>
      <c r="B6" s="173" t="s">
        <v>253</v>
      </c>
      <c r="C6" s="173" t="s">
        <v>254</v>
      </c>
      <c r="D6" s="173" t="s">
        <v>175</v>
      </c>
      <c r="E6" s="174" t="s">
        <v>30</v>
      </c>
    </row>
    <row r="7" spans="1:5">
      <c r="A7" s="138" t="s">
        <v>279</v>
      </c>
      <c r="B7" s="135">
        <f>+'Consolidado x metales'!B4</f>
        <v>512087484</v>
      </c>
      <c r="C7" s="135">
        <f>+'Consolidado x metales'!C4</f>
        <v>242590075</v>
      </c>
      <c r="D7" s="112">
        <f>+Tabla9[[#This Row],[INGRESOS (USD)]]-Tabla9[[#This Row],[COSTO VARIABLE (USD)]]</f>
        <v>269497409</v>
      </c>
      <c r="E7" s="139">
        <f>IF(Tabla9[[#This Row],[INGRESOS (USD)]]=0,0,Tabla9[[#This Row],[MARGEN CONTRIB. (USD)]]/Tabla9[[#This Row],[INGRESOS (USD)]])</f>
        <v>0.52627220430171651</v>
      </c>
    </row>
    <row r="8" spans="1:5">
      <c r="A8" s="138" t="s">
        <v>280</v>
      </c>
      <c r="B8" s="135">
        <f>+'Consolidado x metales'!B5</f>
        <v>664099986.26000011</v>
      </c>
      <c r="C8" s="135">
        <f>+'Consolidado x metales'!C5</f>
        <v>282782837.40000004</v>
      </c>
      <c r="D8" s="112">
        <f>+Tabla9[[#This Row],[INGRESOS (USD)]]-Tabla9[[#This Row],[COSTO VARIABLE (USD)]]</f>
        <v>381317148.86000007</v>
      </c>
      <c r="E8" s="139">
        <f>IF(Tabla9[[#This Row],[INGRESOS (USD)]]=0,0,Tabla9[[#This Row],[MARGEN CONTRIB. (USD)]]/Tabla9[[#This Row],[INGRESOS (USD)]])</f>
        <v>0.57418635258141926</v>
      </c>
    </row>
    <row r="9" spans="1:5">
      <c r="A9" s="138" t="s">
        <v>281</v>
      </c>
      <c r="B9" s="135">
        <f>+'Consolidado x metales'!B6</f>
        <v>526239963</v>
      </c>
      <c r="C9" s="135">
        <f>+'Consolidado x metales'!C6</f>
        <v>336271221</v>
      </c>
      <c r="D9" s="112">
        <f>+Tabla9[[#This Row],[INGRESOS (USD)]]-Tabla9[[#This Row],[COSTO VARIABLE (USD)]]</f>
        <v>189968742</v>
      </c>
      <c r="E9" s="139">
        <f>IF(Tabla9[[#This Row],[INGRESOS (USD)]]=0,0,Tabla9[[#This Row],[MARGEN CONTRIB. (USD)]]/Tabla9[[#This Row],[INGRESOS (USD)]])</f>
        <v>0.36099261811478961</v>
      </c>
    </row>
    <row r="10" spans="1:5">
      <c r="A10" s="138" t="s">
        <v>282</v>
      </c>
      <c r="B10" s="135">
        <f>+'Consolidado x metales'!B8</f>
        <v>82532880</v>
      </c>
      <c r="C10" s="135">
        <f>+'Consolidado x metales'!C8</f>
        <v>33883474</v>
      </c>
      <c r="D10" s="112">
        <f>+Tabla9[[#This Row],[INGRESOS (USD)]]-Tabla9[[#This Row],[COSTO VARIABLE (USD)]]</f>
        <v>48649406</v>
      </c>
      <c r="E10" s="139">
        <f>IF(Tabla9[[#This Row],[INGRESOS (USD)]]=0,0,Tabla9[[#This Row],[MARGEN CONTRIB. (USD)]]/Tabla9[[#This Row],[INGRESOS (USD)]])</f>
        <v>0.58945484514777624</v>
      </c>
    </row>
    <row r="11" spans="1:5">
      <c r="A11" s="138" t="s">
        <v>283</v>
      </c>
      <c r="B11" s="135">
        <f>+'Consolidado x metales'!B7</f>
        <v>37213256</v>
      </c>
      <c r="C11" s="135">
        <f>+'Consolidado x metales'!C7</f>
        <v>13607350</v>
      </c>
      <c r="D11" s="112">
        <f>+Tabla9[[#This Row],[INGRESOS (USD)]]-Tabla9[[#This Row],[COSTO VARIABLE (USD)]]</f>
        <v>23605906</v>
      </c>
      <c r="E11" s="139">
        <f>IF(Tabla9[[#This Row],[INGRESOS (USD)]]=0,0,Tabla9[[#This Row],[MARGEN CONTRIB. (USD)]]/Tabla9[[#This Row],[INGRESOS (USD)]])</f>
        <v>0.63434132181285074</v>
      </c>
    </row>
    <row r="12" spans="1:5">
      <c r="A12" s="140" t="s">
        <v>113</v>
      </c>
      <c r="B12" s="141">
        <f>SUM(B7:B11)</f>
        <v>1822173569.2600002</v>
      </c>
      <c r="C12" s="141">
        <f>SUM(C7:C11)</f>
        <v>909134957.4000001</v>
      </c>
      <c r="D12" s="141">
        <f>SUM(D7:D11)</f>
        <v>913038611.86000013</v>
      </c>
      <c r="E12" s="142">
        <f>IF(Tabla9[[#This Row],[INGRESOS (USD)]]=0,0,Tabla9[[#This Row],[MARGEN CONTRIB. (USD)]]/Tabla9[[#This Row],[INGRESOS (USD)]])</f>
        <v>0.50107115329896523</v>
      </c>
    </row>
    <row r="13" spans="1:5">
      <c r="A13" s="109"/>
    </row>
    <row r="15" spans="1:5">
      <c r="A15" s="113" t="s">
        <v>255</v>
      </c>
      <c r="B15" s="110" cm="1">
        <f t="array" ref="B15">+Tabla5[VALOR]</f>
        <v>289700000</v>
      </c>
      <c r="C15" s="115"/>
    </row>
    <row r="17" spans="1:6">
      <c r="A17" s="136" t="s">
        <v>284</v>
      </c>
      <c r="B17" s="137"/>
      <c r="C17" s="137"/>
      <c r="D17" s="137"/>
      <c r="E17" s="137"/>
      <c r="F17" s="137"/>
    </row>
    <row r="18" spans="1:6">
      <c r="A18" s="111" t="s">
        <v>170</v>
      </c>
      <c r="B18" s="114">
        <f>E12</f>
        <v>0.50107115329896523</v>
      </c>
      <c r="C18" s="115"/>
    </row>
    <row r="19" spans="1:6" ht="15" thickBot="1">
      <c r="A19" s="111" t="s">
        <v>256</v>
      </c>
      <c r="B19" s="112">
        <f>B15</f>
        <v>289700000</v>
      </c>
      <c r="C19" s="115"/>
    </row>
    <row r="20" spans="1:6" ht="16" thickBot="1">
      <c r="A20" s="116" t="s">
        <v>257</v>
      </c>
      <c r="B20" s="117">
        <f>B19/B18</f>
        <v>578161401.01593482</v>
      </c>
      <c r="C20" s="115"/>
    </row>
    <row r="21" spans="1:6">
      <c r="A21" s="111" t="s">
        <v>258</v>
      </c>
      <c r="B21" s="112">
        <f>B12</f>
        <v>1822173569.2600002</v>
      </c>
      <c r="C21" s="115"/>
    </row>
    <row r="22" spans="1:6">
      <c r="A22" s="111" t="s">
        <v>259</v>
      </c>
      <c r="B22" s="112">
        <f>B21-B20</f>
        <v>1244012168.2440653</v>
      </c>
      <c r="C22" s="115"/>
    </row>
    <row r="23" spans="1:6">
      <c r="A23" s="111" t="s">
        <v>260</v>
      </c>
      <c r="B23" s="114">
        <f>IF(B21=0,0,B22/B21)</f>
        <v>0.68270783268427548</v>
      </c>
      <c r="C23" s="115"/>
    </row>
    <row r="24" spans="1:6">
      <c r="A24" s="111" t="s">
        <v>261</v>
      </c>
      <c r="B24" s="112">
        <f>D12-B19</f>
        <v>623338611.86000013</v>
      </c>
      <c r="C24" s="115"/>
    </row>
    <row r="25" spans="1:6">
      <c r="A25" s="111" t="s">
        <v>262</v>
      </c>
      <c r="B25" s="112">
        <f>ROUND(B20*B18-B19,2)</f>
        <v>0</v>
      </c>
      <c r="C25" s="115"/>
    </row>
    <row r="27" spans="1:6">
      <c r="A27" s="136" t="s">
        <v>285</v>
      </c>
      <c r="B27" s="137"/>
      <c r="C27" s="137"/>
      <c r="D27" s="137"/>
      <c r="E27" s="137"/>
      <c r="F27" s="137"/>
    </row>
    <row r="28" spans="1:6" ht="19.5" customHeight="1">
      <c r="A28" s="303" t="str">
        <f>"Buenaventura necesita vender aproximadamente USD "&amp;ROUND(B20/1000000,2)&amp;" millones para cubrir sus costos fijos de USD "&amp;ROUND(B19/1000000,2)&amp;" millones (EBIT = 0). Con ventas de USD "&amp;ROUND(B21/1000000,2)&amp;" millones, sus ventas pueden caer "&amp;ROUND(B23*100,2)&amp;"% antes de entrar en pérdida."</f>
        <v>Buenaventura necesita vender aproximadamente USD 578.16 millones para cubrir sus costos fijos de USD 289.7 millones (EBIT = 0). Con ventas de USD 1822.17 millones, sus ventas pueden caer 68.27% antes de entrar en pérdida.</v>
      </c>
      <c r="B28" s="303"/>
      <c r="C28" s="303"/>
      <c r="D28" s="303"/>
      <c r="E28" s="303"/>
      <c r="F28" s="303"/>
    </row>
    <row r="29" spans="1:6" ht="19.5" customHeight="1">
      <c r="A29" s="303"/>
      <c r="B29" s="303"/>
      <c r="C29" s="303"/>
      <c r="D29" s="303"/>
      <c r="E29" s="303"/>
      <c r="F29" s="303"/>
    </row>
    <row r="31" spans="1:6">
      <c r="A31" s="136" t="s">
        <v>286</v>
      </c>
      <c r="B31" s="137"/>
      <c r="C31" s="137"/>
      <c r="D31" s="137"/>
      <c r="E31" s="137"/>
      <c r="F31" s="137"/>
    </row>
  </sheetData>
  <mergeCells count="3">
    <mergeCell ref="A28:F29"/>
    <mergeCell ref="A1:E4"/>
    <mergeCell ref="A5:E5"/>
  </mergeCells>
  <pageMargins left="0.75" right="0.75" top="1" bottom="1" header="0.511811023622047" footer="0.511811023622047"/>
  <pageSetup orientation="portrait" horizontalDpi="300" verticalDpi="300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A40C-3764-4B15-BB18-ED8954053117}">
  <dimension ref="A1:E144"/>
  <sheetViews>
    <sheetView workbookViewId="0">
      <pane ySplit="1" topLeftCell="A2" activePane="bottomLeft" state="frozen"/>
      <selection pane="bottomLeft" activeCell="F1" sqref="F1:F1048576"/>
    </sheetView>
  </sheetViews>
  <sheetFormatPr baseColWidth="10" defaultColWidth="8.7265625" defaultRowHeight="14.5"/>
  <cols>
    <col min="1" max="1" width="10" style="216" customWidth="1"/>
    <col min="2" max="2" width="16" style="216" customWidth="1"/>
    <col min="3" max="3" width="55" style="216" customWidth="1"/>
    <col min="4" max="4" width="16" style="216" customWidth="1"/>
    <col min="5" max="5" width="20" style="216" customWidth="1"/>
    <col min="6" max="16384" width="8.7265625" style="216"/>
  </cols>
  <sheetData>
    <row r="1" spans="1:5">
      <c r="A1" s="307" t="s">
        <v>364</v>
      </c>
      <c r="B1" s="307" t="s">
        <v>363</v>
      </c>
      <c r="C1" s="307" t="s">
        <v>362</v>
      </c>
      <c r="D1" s="307" t="s">
        <v>205</v>
      </c>
      <c r="E1" s="307" t="s">
        <v>361</v>
      </c>
    </row>
    <row r="2" spans="1:5">
      <c r="A2" s="306">
        <v>2015</v>
      </c>
      <c r="B2" s="306" t="s">
        <v>358</v>
      </c>
      <c r="C2" s="306" t="s">
        <v>360</v>
      </c>
      <c r="D2" s="306">
        <v>500000</v>
      </c>
      <c r="E2" s="306" t="s">
        <v>359</v>
      </c>
    </row>
    <row r="3" spans="1:5">
      <c r="A3" s="306">
        <v>2015</v>
      </c>
      <c r="B3" s="306" t="s">
        <v>358</v>
      </c>
      <c r="C3" s="306" t="s">
        <v>357</v>
      </c>
      <c r="D3" s="306">
        <v>260000</v>
      </c>
      <c r="E3" s="306" t="s">
        <v>356</v>
      </c>
    </row>
    <row r="4" spans="1:5">
      <c r="A4" s="216">
        <v>2015</v>
      </c>
      <c r="B4" s="216" t="s">
        <v>348</v>
      </c>
      <c r="C4" s="216" t="s">
        <v>355</v>
      </c>
      <c r="D4" s="216">
        <v>9.5</v>
      </c>
      <c r="E4" s="216" t="s">
        <v>354</v>
      </c>
    </row>
    <row r="5" spans="1:5">
      <c r="A5" s="216">
        <v>2015</v>
      </c>
      <c r="B5" s="216" t="s">
        <v>348</v>
      </c>
      <c r="C5" s="216" t="s">
        <v>353</v>
      </c>
      <c r="D5" s="216">
        <v>3.55</v>
      </c>
      <c r="E5" s="216" t="s">
        <v>352</v>
      </c>
    </row>
    <row r="6" spans="1:5">
      <c r="A6" s="216">
        <v>2015</v>
      </c>
      <c r="B6" s="216" t="s">
        <v>348</v>
      </c>
      <c r="C6" s="216" t="s">
        <v>351</v>
      </c>
      <c r="D6" s="216">
        <v>6870</v>
      </c>
      <c r="E6" s="216" t="s">
        <v>331</v>
      </c>
    </row>
    <row r="7" spans="1:5">
      <c r="A7" s="216">
        <v>2015</v>
      </c>
      <c r="B7" s="216" t="s">
        <v>348</v>
      </c>
      <c r="C7" s="216" t="s">
        <v>350</v>
      </c>
      <c r="D7" s="216">
        <v>1159.9100000000001</v>
      </c>
      <c r="E7" s="216" t="s">
        <v>349</v>
      </c>
    </row>
    <row r="8" spans="1:5">
      <c r="A8" s="216">
        <v>2015</v>
      </c>
      <c r="B8" s="216" t="s">
        <v>348</v>
      </c>
      <c r="C8" s="216" t="s">
        <v>347</v>
      </c>
      <c r="D8" s="216">
        <v>3.18</v>
      </c>
      <c r="E8" s="216" t="s">
        <v>346</v>
      </c>
    </row>
    <row r="9" spans="1:5">
      <c r="A9" s="216">
        <v>2015</v>
      </c>
      <c r="B9" s="216" t="s">
        <v>345</v>
      </c>
      <c r="C9" s="216" t="s">
        <v>344</v>
      </c>
      <c r="D9" s="216">
        <v>0.44</v>
      </c>
      <c r="E9" s="216" t="s">
        <v>343</v>
      </c>
    </row>
    <row r="10" spans="1:5">
      <c r="A10" s="216">
        <v>2015</v>
      </c>
      <c r="B10" s="216" t="s">
        <v>340</v>
      </c>
      <c r="C10" s="216" t="s">
        <v>342</v>
      </c>
      <c r="D10" s="216">
        <v>60.4</v>
      </c>
      <c r="E10" s="216" t="s">
        <v>341</v>
      </c>
    </row>
    <row r="11" spans="1:5">
      <c r="A11" s="216">
        <v>2015</v>
      </c>
      <c r="B11" s="216" t="s">
        <v>340</v>
      </c>
      <c r="C11" s="216" t="s">
        <v>339</v>
      </c>
      <c r="D11" s="216">
        <v>200.7</v>
      </c>
      <c r="E11" s="216" t="s">
        <v>338</v>
      </c>
    </row>
    <row r="12" spans="1:5">
      <c r="A12" s="216">
        <v>2015</v>
      </c>
      <c r="B12" s="216" t="s">
        <v>337</v>
      </c>
      <c r="C12" s="216" t="s">
        <v>336</v>
      </c>
      <c r="D12" s="216">
        <v>183000</v>
      </c>
      <c r="E12" s="216" t="s">
        <v>335</v>
      </c>
    </row>
    <row r="13" spans="1:5">
      <c r="A13" s="216">
        <v>2015</v>
      </c>
      <c r="B13" s="216" t="s">
        <v>333</v>
      </c>
      <c r="C13" s="216" t="s">
        <v>334</v>
      </c>
      <c r="D13" s="216">
        <v>669</v>
      </c>
      <c r="E13" s="216" t="s">
        <v>331</v>
      </c>
    </row>
    <row r="14" spans="1:5">
      <c r="A14" s="216">
        <v>2015</v>
      </c>
      <c r="B14" s="216" t="s">
        <v>333</v>
      </c>
      <c r="C14" s="216" t="s">
        <v>332</v>
      </c>
      <c r="D14" s="216">
        <v>535</v>
      </c>
      <c r="E14" s="216" t="s">
        <v>331</v>
      </c>
    </row>
    <row r="15" spans="1:5">
      <c r="A15" s="306">
        <v>2016</v>
      </c>
      <c r="B15" s="306" t="s">
        <v>358</v>
      </c>
      <c r="C15" s="306" t="s">
        <v>360</v>
      </c>
      <c r="D15" s="306">
        <v>515000</v>
      </c>
      <c r="E15" s="306" t="s">
        <v>359</v>
      </c>
    </row>
    <row r="16" spans="1:5">
      <c r="A16" s="306">
        <v>2016</v>
      </c>
      <c r="B16" s="306" t="s">
        <v>358</v>
      </c>
      <c r="C16" s="306" t="s">
        <v>357</v>
      </c>
      <c r="D16" s="306">
        <v>255000</v>
      </c>
      <c r="E16" s="306" t="s">
        <v>356</v>
      </c>
    </row>
    <row r="17" spans="1:5">
      <c r="A17" s="216">
        <v>2016</v>
      </c>
      <c r="B17" s="216" t="s">
        <v>348</v>
      </c>
      <c r="C17" s="216" t="s">
        <v>355</v>
      </c>
      <c r="D17" s="216">
        <v>16.3</v>
      </c>
      <c r="E17" s="216" t="s">
        <v>354</v>
      </c>
    </row>
    <row r="18" spans="1:5">
      <c r="A18" s="216">
        <v>2016</v>
      </c>
      <c r="B18" s="216" t="s">
        <v>348</v>
      </c>
      <c r="C18" s="216" t="s">
        <v>353</v>
      </c>
      <c r="D18" s="216">
        <v>3.59</v>
      </c>
      <c r="E18" s="216" t="s">
        <v>352</v>
      </c>
    </row>
    <row r="19" spans="1:5">
      <c r="A19" s="216">
        <v>2016</v>
      </c>
      <c r="B19" s="216" t="s">
        <v>348</v>
      </c>
      <c r="C19" s="216" t="s">
        <v>351</v>
      </c>
      <c r="D19" s="216">
        <v>3335</v>
      </c>
      <c r="E19" s="216" t="s">
        <v>331</v>
      </c>
    </row>
    <row r="20" spans="1:5">
      <c r="A20" s="216">
        <v>2016</v>
      </c>
      <c r="B20" s="216" t="s">
        <v>348</v>
      </c>
      <c r="C20" s="216" t="s">
        <v>350</v>
      </c>
      <c r="D20" s="216">
        <v>1247.6099999999999</v>
      </c>
      <c r="E20" s="216" t="s">
        <v>349</v>
      </c>
    </row>
    <row r="21" spans="1:5">
      <c r="A21" s="216">
        <v>2016</v>
      </c>
      <c r="B21" s="216" t="s">
        <v>348</v>
      </c>
      <c r="C21" s="216" t="s">
        <v>347</v>
      </c>
      <c r="D21" s="216">
        <v>3.38</v>
      </c>
      <c r="E21" s="216" t="s">
        <v>346</v>
      </c>
    </row>
    <row r="22" spans="1:5">
      <c r="A22" s="216">
        <v>2016</v>
      </c>
      <c r="B22" s="216" t="s">
        <v>345</v>
      </c>
      <c r="C22" s="216" t="s">
        <v>344</v>
      </c>
      <c r="D22" s="216">
        <v>0.47</v>
      </c>
      <c r="E22" s="216" t="s">
        <v>343</v>
      </c>
    </row>
    <row r="23" spans="1:5">
      <c r="A23" s="216">
        <v>2016</v>
      </c>
      <c r="B23" s="216" t="s">
        <v>340</v>
      </c>
      <c r="C23" s="216" t="s">
        <v>342</v>
      </c>
      <c r="D23" s="216">
        <v>62.8</v>
      </c>
      <c r="E23" s="216" t="s">
        <v>341</v>
      </c>
    </row>
    <row r="24" spans="1:5">
      <c r="A24" s="216">
        <v>2016</v>
      </c>
      <c r="B24" s="216" t="s">
        <v>340</v>
      </c>
      <c r="C24" s="216" t="s">
        <v>339</v>
      </c>
      <c r="D24" s="216">
        <v>200</v>
      </c>
      <c r="E24" s="216" t="s">
        <v>338</v>
      </c>
    </row>
    <row r="25" spans="1:5">
      <c r="A25" s="216">
        <v>2016</v>
      </c>
      <c r="B25" s="216" t="s">
        <v>337</v>
      </c>
      <c r="C25" s="216" t="s">
        <v>336</v>
      </c>
      <c r="D25" s="216">
        <v>174126</v>
      </c>
      <c r="E25" s="216" t="s">
        <v>335</v>
      </c>
    </row>
    <row r="26" spans="1:5">
      <c r="A26" s="216">
        <v>2016</v>
      </c>
      <c r="B26" s="216" t="s">
        <v>333</v>
      </c>
      <c r="C26" s="216" t="s">
        <v>334</v>
      </c>
      <c r="D26" s="216">
        <v>388</v>
      </c>
      <c r="E26" s="216" t="s">
        <v>331</v>
      </c>
    </row>
    <row r="27" spans="1:5">
      <c r="A27" s="216">
        <v>2016</v>
      </c>
      <c r="B27" s="216" t="s">
        <v>333</v>
      </c>
      <c r="C27" s="216" t="s">
        <v>332</v>
      </c>
      <c r="D27" s="216">
        <v>377</v>
      </c>
      <c r="E27" s="216" t="s">
        <v>331</v>
      </c>
    </row>
    <row r="28" spans="1:5">
      <c r="A28" s="306">
        <v>2017</v>
      </c>
      <c r="B28" s="306" t="s">
        <v>358</v>
      </c>
      <c r="C28" s="306" t="s">
        <v>360</v>
      </c>
      <c r="D28" s="306">
        <v>530000</v>
      </c>
      <c r="E28" s="306" t="s">
        <v>359</v>
      </c>
    </row>
    <row r="29" spans="1:5">
      <c r="A29" s="306">
        <v>2017</v>
      </c>
      <c r="B29" s="306" t="s">
        <v>358</v>
      </c>
      <c r="C29" s="306" t="s">
        <v>357</v>
      </c>
      <c r="D29" s="306">
        <v>250000</v>
      </c>
      <c r="E29" s="306" t="s">
        <v>356</v>
      </c>
    </row>
    <row r="30" spans="1:5">
      <c r="A30" s="216">
        <v>2017</v>
      </c>
      <c r="B30" s="216" t="s">
        <v>348</v>
      </c>
      <c r="C30" s="216" t="s">
        <v>355</v>
      </c>
      <c r="D30" s="216">
        <v>3.4</v>
      </c>
      <c r="E30" s="216" t="s">
        <v>354</v>
      </c>
    </row>
    <row r="31" spans="1:5">
      <c r="A31" s="216">
        <v>2017</v>
      </c>
      <c r="B31" s="216" t="s">
        <v>348</v>
      </c>
      <c r="C31" s="216" t="s">
        <v>353</v>
      </c>
      <c r="D31" s="216">
        <v>2.8</v>
      </c>
      <c r="E31" s="216" t="s">
        <v>352</v>
      </c>
    </row>
    <row r="32" spans="1:5">
      <c r="A32" s="216">
        <v>2017</v>
      </c>
      <c r="B32" s="216" t="s">
        <v>348</v>
      </c>
      <c r="C32" s="216" t="s">
        <v>351</v>
      </c>
      <c r="D32" s="216">
        <v>3978</v>
      </c>
      <c r="E32" s="216" t="s">
        <v>331</v>
      </c>
    </row>
    <row r="33" spans="1:5">
      <c r="A33" s="216">
        <v>2017</v>
      </c>
      <c r="B33" s="216" t="s">
        <v>348</v>
      </c>
      <c r="C33" s="216" t="s">
        <v>350</v>
      </c>
      <c r="D33" s="216">
        <v>1257.42</v>
      </c>
      <c r="E33" s="216" t="s">
        <v>349</v>
      </c>
    </row>
    <row r="34" spans="1:5">
      <c r="A34" s="216">
        <v>2017</v>
      </c>
      <c r="B34" s="216" t="s">
        <v>348</v>
      </c>
      <c r="C34" s="216" t="s">
        <v>347</v>
      </c>
      <c r="D34" s="216">
        <v>3.26</v>
      </c>
      <c r="E34" s="216" t="s">
        <v>346</v>
      </c>
    </row>
    <row r="35" spans="1:5">
      <c r="A35" s="216">
        <v>2017</v>
      </c>
      <c r="B35" s="216" t="s">
        <v>345</v>
      </c>
      <c r="C35" s="216" t="s">
        <v>344</v>
      </c>
      <c r="D35" s="216">
        <v>0.35</v>
      </c>
      <c r="E35" s="216" t="s">
        <v>343</v>
      </c>
    </row>
    <row r="36" spans="1:5">
      <c r="A36" s="216">
        <v>2017</v>
      </c>
      <c r="B36" s="216" t="s">
        <v>340</v>
      </c>
      <c r="C36" s="216" t="s">
        <v>342</v>
      </c>
      <c r="D36" s="216">
        <v>62.1</v>
      </c>
      <c r="E36" s="216" t="s">
        <v>341</v>
      </c>
    </row>
    <row r="37" spans="1:5">
      <c r="A37" s="216">
        <v>2017</v>
      </c>
      <c r="B37" s="216" t="s">
        <v>340</v>
      </c>
      <c r="C37" s="216" t="s">
        <v>339</v>
      </c>
      <c r="D37" s="216">
        <v>145</v>
      </c>
      <c r="E37" s="216" t="s">
        <v>338</v>
      </c>
    </row>
    <row r="38" spans="1:5">
      <c r="A38" s="216">
        <v>2017</v>
      </c>
      <c r="B38" s="216" t="s">
        <v>337</v>
      </c>
      <c r="C38" s="216" t="s">
        <v>336</v>
      </c>
      <c r="D38" s="216">
        <v>189962</v>
      </c>
      <c r="E38" s="216" t="s">
        <v>335</v>
      </c>
    </row>
    <row r="39" spans="1:5">
      <c r="A39" s="216">
        <v>2017</v>
      </c>
      <c r="B39" s="216" t="s">
        <v>333</v>
      </c>
      <c r="C39" s="216" t="s">
        <v>334</v>
      </c>
      <c r="D39" s="216">
        <v>495</v>
      </c>
      <c r="E39" s="216" t="s">
        <v>331</v>
      </c>
    </row>
    <row r="40" spans="1:5">
      <c r="A40" s="216">
        <v>2017</v>
      </c>
      <c r="B40" s="216" t="s">
        <v>333</v>
      </c>
      <c r="C40" s="216" t="s">
        <v>332</v>
      </c>
      <c r="D40" s="216">
        <v>493</v>
      </c>
      <c r="E40" s="216" t="s">
        <v>331</v>
      </c>
    </row>
    <row r="41" spans="1:5">
      <c r="A41" s="306">
        <v>2018</v>
      </c>
      <c r="B41" s="306" t="s">
        <v>358</v>
      </c>
      <c r="C41" s="306" t="s">
        <v>360</v>
      </c>
      <c r="D41" s="306">
        <v>545000</v>
      </c>
      <c r="E41" s="306" t="s">
        <v>359</v>
      </c>
    </row>
    <row r="42" spans="1:5">
      <c r="A42" s="306">
        <v>2018</v>
      </c>
      <c r="B42" s="306" t="s">
        <v>358</v>
      </c>
      <c r="C42" s="306" t="s">
        <v>357</v>
      </c>
      <c r="D42" s="306">
        <v>245000</v>
      </c>
      <c r="E42" s="306" t="s">
        <v>356</v>
      </c>
    </row>
    <row r="43" spans="1:5">
      <c r="A43" s="216">
        <v>2018</v>
      </c>
      <c r="B43" s="216" t="s">
        <v>348</v>
      </c>
      <c r="C43" s="216" t="s">
        <v>355</v>
      </c>
      <c r="D43" s="216">
        <v>-1.5</v>
      </c>
      <c r="E43" s="216" t="s">
        <v>354</v>
      </c>
    </row>
    <row r="44" spans="1:5">
      <c r="A44" s="216">
        <v>2018</v>
      </c>
      <c r="B44" s="216" t="s">
        <v>348</v>
      </c>
      <c r="C44" s="216" t="s">
        <v>353</v>
      </c>
      <c r="D44" s="216">
        <v>1.32</v>
      </c>
      <c r="E44" s="216" t="s">
        <v>352</v>
      </c>
    </row>
    <row r="45" spans="1:5">
      <c r="A45" s="216">
        <v>2018</v>
      </c>
      <c r="B45" s="216" t="s">
        <v>348</v>
      </c>
      <c r="C45" s="216" t="s">
        <v>351</v>
      </c>
      <c r="D45" s="216">
        <v>4962</v>
      </c>
      <c r="E45" s="216" t="s">
        <v>331</v>
      </c>
    </row>
    <row r="46" spans="1:5">
      <c r="A46" s="216">
        <v>2018</v>
      </c>
      <c r="B46" s="216" t="s">
        <v>348</v>
      </c>
      <c r="C46" s="216" t="s">
        <v>350</v>
      </c>
      <c r="D46" s="216">
        <v>1269.2</v>
      </c>
      <c r="E46" s="216" t="s">
        <v>349</v>
      </c>
    </row>
    <row r="47" spans="1:5">
      <c r="A47" s="216">
        <v>2018</v>
      </c>
      <c r="B47" s="216" t="s">
        <v>348</v>
      </c>
      <c r="C47" s="216" t="s">
        <v>347</v>
      </c>
      <c r="D47" s="216">
        <v>3.29</v>
      </c>
      <c r="E47" s="216" t="s">
        <v>346</v>
      </c>
    </row>
    <row r="48" spans="1:5">
      <c r="A48" s="216">
        <v>2018</v>
      </c>
      <c r="B48" s="216" t="s">
        <v>345</v>
      </c>
      <c r="C48" s="216" t="s">
        <v>344</v>
      </c>
      <c r="D48" s="216">
        <v>0.44</v>
      </c>
      <c r="E48" s="216" t="s">
        <v>343</v>
      </c>
    </row>
    <row r="49" spans="1:5">
      <c r="A49" s="216">
        <v>2018</v>
      </c>
      <c r="B49" s="216" t="s">
        <v>340</v>
      </c>
      <c r="C49" s="216" t="s">
        <v>342</v>
      </c>
      <c r="D49" s="216">
        <v>63</v>
      </c>
      <c r="E49" s="216" t="s">
        <v>341</v>
      </c>
    </row>
    <row r="50" spans="1:5">
      <c r="A50" s="216">
        <v>2018</v>
      </c>
      <c r="B50" s="216" t="s">
        <v>340</v>
      </c>
      <c r="C50" s="216" t="s">
        <v>339</v>
      </c>
      <c r="D50" s="216">
        <v>147.19999999999999</v>
      </c>
      <c r="E50" s="216" t="s">
        <v>338</v>
      </c>
    </row>
    <row r="51" spans="1:5">
      <c r="A51" s="216">
        <v>2018</v>
      </c>
      <c r="B51" s="216" t="s">
        <v>337</v>
      </c>
      <c r="C51" s="216" t="s">
        <v>336</v>
      </c>
      <c r="D51" s="216">
        <v>201547</v>
      </c>
      <c r="E51" s="216" t="s">
        <v>335</v>
      </c>
    </row>
    <row r="52" spans="1:5">
      <c r="A52" s="216">
        <v>2018</v>
      </c>
      <c r="B52" s="216" t="s">
        <v>333</v>
      </c>
      <c r="C52" s="216" t="s">
        <v>334</v>
      </c>
      <c r="D52" s="216">
        <v>661</v>
      </c>
      <c r="E52" s="216" t="s">
        <v>331</v>
      </c>
    </row>
    <row r="53" spans="1:5">
      <c r="A53" s="216">
        <v>2018</v>
      </c>
      <c r="B53" s="216" t="s">
        <v>333</v>
      </c>
      <c r="C53" s="216" t="s">
        <v>332</v>
      </c>
      <c r="D53" s="216">
        <v>431</v>
      </c>
      <c r="E53" s="216" t="s">
        <v>331</v>
      </c>
    </row>
    <row r="54" spans="1:5">
      <c r="A54" s="306">
        <v>2019</v>
      </c>
      <c r="B54" s="306" t="s">
        <v>358</v>
      </c>
      <c r="C54" s="306" t="s">
        <v>360</v>
      </c>
      <c r="D54" s="306">
        <v>560000</v>
      </c>
      <c r="E54" s="306" t="s">
        <v>359</v>
      </c>
    </row>
    <row r="55" spans="1:5">
      <c r="A55" s="306">
        <v>2019</v>
      </c>
      <c r="B55" s="306" t="s">
        <v>358</v>
      </c>
      <c r="C55" s="306" t="s">
        <v>357</v>
      </c>
      <c r="D55" s="306">
        <v>240000</v>
      </c>
      <c r="E55" s="306" t="s">
        <v>356</v>
      </c>
    </row>
    <row r="56" spans="1:5">
      <c r="A56" s="216">
        <v>2019</v>
      </c>
      <c r="B56" s="216" t="s">
        <v>348</v>
      </c>
      <c r="C56" s="216" t="s">
        <v>355</v>
      </c>
      <c r="D56" s="216">
        <v>0</v>
      </c>
      <c r="E56" s="216" t="s">
        <v>354</v>
      </c>
    </row>
    <row r="57" spans="1:5">
      <c r="A57" s="216">
        <v>2019</v>
      </c>
      <c r="B57" s="216" t="s">
        <v>348</v>
      </c>
      <c r="C57" s="216" t="s">
        <v>353</v>
      </c>
      <c r="D57" s="216">
        <v>2.14</v>
      </c>
      <c r="E57" s="216" t="s">
        <v>352</v>
      </c>
    </row>
    <row r="58" spans="1:5">
      <c r="A58" s="216">
        <v>2019</v>
      </c>
      <c r="B58" s="216" t="s">
        <v>348</v>
      </c>
      <c r="C58" s="216" t="s">
        <v>351</v>
      </c>
      <c r="D58" s="216">
        <v>5908</v>
      </c>
      <c r="E58" s="216" t="s">
        <v>331</v>
      </c>
    </row>
    <row r="59" spans="1:5">
      <c r="A59" s="216">
        <v>2019</v>
      </c>
      <c r="B59" s="216" t="s">
        <v>348</v>
      </c>
      <c r="C59" s="216" t="s">
        <v>350</v>
      </c>
      <c r="D59" s="216">
        <v>1392.4</v>
      </c>
      <c r="E59" s="216" t="s">
        <v>349</v>
      </c>
    </row>
    <row r="60" spans="1:5">
      <c r="A60" s="216">
        <v>2019</v>
      </c>
      <c r="B60" s="216" t="s">
        <v>348</v>
      </c>
      <c r="C60" s="216" t="s">
        <v>347</v>
      </c>
      <c r="D60" s="216">
        <v>3.34</v>
      </c>
      <c r="E60" s="216" t="s">
        <v>346</v>
      </c>
    </row>
    <row r="61" spans="1:5">
      <c r="A61" s="216">
        <v>2019</v>
      </c>
      <c r="B61" s="216" t="s">
        <v>345</v>
      </c>
      <c r="C61" s="216" t="s">
        <v>344</v>
      </c>
      <c r="D61" s="216">
        <v>0.52</v>
      </c>
      <c r="E61" s="216" t="s">
        <v>343</v>
      </c>
    </row>
    <row r="62" spans="1:5">
      <c r="A62" s="216">
        <v>2019</v>
      </c>
      <c r="B62" s="216" t="s">
        <v>340</v>
      </c>
      <c r="C62" s="216" t="s">
        <v>342</v>
      </c>
      <c r="D62" s="216">
        <v>64.400000000000006</v>
      </c>
      <c r="E62" s="216" t="s">
        <v>341</v>
      </c>
    </row>
    <row r="63" spans="1:5">
      <c r="A63" s="216">
        <v>2019</v>
      </c>
      <c r="B63" s="216" t="s">
        <v>340</v>
      </c>
      <c r="C63" s="216" t="s">
        <v>339</v>
      </c>
      <c r="D63" s="216">
        <v>128.69999999999999</v>
      </c>
      <c r="E63" s="216" t="s">
        <v>338</v>
      </c>
    </row>
    <row r="64" spans="1:5">
      <c r="A64" s="216">
        <v>2019</v>
      </c>
      <c r="B64" s="216" t="s">
        <v>337</v>
      </c>
      <c r="C64" s="216" t="s">
        <v>336</v>
      </c>
      <c r="D64" s="216">
        <v>208716</v>
      </c>
      <c r="E64" s="216" t="s">
        <v>335</v>
      </c>
    </row>
    <row r="65" spans="1:5">
      <c r="A65" s="216">
        <v>2019</v>
      </c>
      <c r="B65" s="216" t="s">
        <v>333</v>
      </c>
      <c r="C65" s="216" t="s">
        <v>334</v>
      </c>
      <c r="D65" s="216">
        <v>1041</v>
      </c>
      <c r="E65" s="216" t="s">
        <v>331</v>
      </c>
    </row>
    <row r="66" spans="1:5">
      <c r="A66" s="216">
        <v>2019</v>
      </c>
      <c r="B66" s="216" t="s">
        <v>333</v>
      </c>
      <c r="C66" s="216" t="s">
        <v>332</v>
      </c>
      <c r="D66" s="216">
        <v>356</v>
      </c>
      <c r="E66" s="216" t="s">
        <v>331</v>
      </c>
    </row>
    <row r="67" spans="1:5">
      <c r="A67" s="306">
        <v>2020</v>
      </c>
      <c r="B67" s="306" t="s">
        <v>358</v>
      </c>
      <c r="C67" s="306" t="s">
        <v>360</v>
      </c>
      <c r="D67" s="306">
        <v>555000</v>
      </c>
      <c r="E67" s="306" t="s">
        <v>359</v>
      </c>
    </row>
    <row r="68" spans="1:5">
      <c r="A68" s="306">
        <v>2020</v>
      </c>
      <c r="B68" s="306" t="s">
        <v>358</v>
      </c>
      <c r="C68" s="306" t="s">
        <v>357</v>
      </c>
      <c r="D68" s="306">
        <v>225000</v>
      </c>
      <c r="E68" s="306" t="s">
        <v>356</v>
      </c>
    </row>
    <row r="69" spans="1:5">
      <c r="A69" s="216">
        <v>2020</v>
      </c>
      <c r="B69" s="216" t="s">
        <v>348</v>
      </c>
      <c r="C69" s="216" t="s">
        <v>355</v>
      </c>
      <c r="D69" s="216">
        <v>-13.4</v>
      </c>
      <c r="E69" s="216" t="s">
        <v>354</v>
      </c>
    </row>
    <row r="70" spans="1:5">
      <c r="A70" s="216">
        <v>2020</v>
      </c>
      <c r="B70" s="216" t="s">
        <v>348</v>
      </c>
      <c r="C70" s="216" t="s">
        <v>353</v>
      </c>
      <c r="D70" s="216">
        <v>1.83</v>
      </c>
      <c r="E70" s="216" t="s">
        <v>352</v>
      </c>
    </row>
    <row r="71" spans="1:5">
      <c r="A71" s="216">
        <v>2020</v>
      </c>
      <c r="B71" s="216" t="s">
        <v>348</v>
      </c>
      <c r="C71" s="216" t="s">
        <v>351</v>
      </c>
      <c r="D71" s="216">
        <v>4325</v>
      </c>
      <c r="E71" s="216" t="s">
        <v>331</v>
      </c>
    </row>
    <row r="72" spans="1:5">
      <c r="A72" s="216">
        <v>2020</v>
      </c>
      <c r="B72" s="216" t="s">
        <v>348</v>
      </c>
      <c r="C72" s="216" t="s">
        <v>350</v>
      </c>
      <c r="D72" s="216">
        <v>1769.72</v>
      </c>
      <c r="E72" s="216" t="s">
        <v>349</v>
      </c>
    </row>
    <row r="73" spans="1:5">
      <c r="A73" s="216">
        <v>2020</v>
      </c>
      <c r="B73" s="216" t="s">
        <v>348</v>
      </c>
      <c r="C73" s="216" t="s">
        <v>347</v>
      </c>
      <c r="D73" s="216">
        <v>3.49</v>
      </c>
      <c r="E73" s="216" t="s">
        <v>346</v>
      </c>
    </row>
    <row r="74" spans="1:5">
      <c r="A74" s="216">
        <v>2020</v>
      </c>
      <c r="B74" s="216" t="s">
        <v>345</v>
      </c>
      <c r="C74" s="216" t="s">
        <v>344</v>
      </c>
      <c r="D74" s="216">
        <v>0.47</v>
      </c>
      <c r="E74" s="216" t="s">
        <v>343</v>
      </c>
    </row>
    <row r="75" spans="1:5">
      <c r="A75" s="216">
        <v>2020</v>
      </c>
      <c r="B75" s="216" t="s">
        <v>340</v>
      </c>
      <c r="C75" s="216" t="s">
        <v>342</v>
      </c>
      <c r="D75" s="216">
        <v>60.8</v>
      </c>
      <c r="E75" s="216" t="s">
        <v>341</v>
      </c>
    </row>
    <row r="76" spans="1:5">
      <c r="A76" s="216">
        <v>2020</v>
      </c>
      <c r="B76" s="216" t="s">
        <v>340</v>
      </c>
      <c r="C76" s="216" t="s">
        <v>339</v>
      </c>
      <c r="D76" s="216">
        <v>173.3</v>
      </c>
      <c r="E76" s="216" t="s">
        <v>338</v>
      </c>
    </row>
    <row r="77" spans="1:5">
      <c r="A77" s="216">
        <v>2020</v>
      </c>
      <c r="B77" s="216" t="s">
        <v>337</v>
      </c>
      <c r="C77" s="216" t="s">
        <v>336</v>
      </c>
      <c r="D77" s="216">
        <v>178149</v>
      </c>
      <c r="E77" s="216" t="s">
        <v>335</v>
      </c>
    </row>
    <row r="78" spans="1:5">
      <c r="A78" s="216">
        <v>2020</v>
      </c>
      <c r="B78" s="216" t="s">
        <v>333</v>
      </c>
      <c r="C78" s="216" t="s">
        <v>334</v>
      </c>
      <c r="D78" s="216">
        <v>744</v>
      </c>
      <c r="E78" s="216" t="s">
        <v>331</v>
      </c>
    </row>
    <row r="79" spans="1:5">
      <c r="A79" s="216">
        <v>2020</v>
      </c>
      <c r="B79" s="216" t="s">
        <v>333</v>
      </c>
      <c r="C79" s="216" t="s">
        <v>332</v>
      </c>
      <c r="D79" s="216">
        <v>216</v>
      </c>
      <c r="E79" s="216" t="s">
        <v>331</v>
      </c>
    </row>
    <row r="80" spans="1:5">
      <c r="A80" s="306">
        <v>2021</v>
      </c>
      <c r="B80" s="306" t="s">
        <v>358</v>
      </c>
      <c r="C80" s="306" t="s">
        <v>360</v>
      </c>
      <c r="D80" s="306">
        <v>565000</v>
      </c>
      <c r="E80" s="306" t="s">
        <v>359</v>
      </c>
    </row>
    <row r="81" spans="1:5">
      <c r="A81" s="216">
        <v>2021</v>
      </c>
      <c r="B81" s="216" t="s">
        <v>358</v>
      </c>
      <c r="C81" s="216" t="s">
        <v>357</v>
      </c>
      <c r="D81" s="216">
        <v>244000</v>
      </c>
      <c r="E81" s="216" t="s">
        <v>356</v>
      </c>
    </row>
    <row r="82" spans="1:5">
      <c r="A82" s="216">
        <v>2021</v>
      </c>
      <c r="B82" s="216" t="s">
        <v>348</v>
      </c>
      <c r="C82" s="216" t="s">
        <v>355</v>
      </c>
      <c r="D82" s="216">
        <v>8.1</v>
      </c>
      <c r="E82" s="216" t="s">
        <v>354</v>
      </c>
    </row>
    <row r="83" spans="1:5">
      <c r="A83" s="216">
        <v>2021</v>
      </c>
      <c r="B83" s="216" t="s">
        <v>348</v>
      </c>
      <c r="C83" s="216" t="s">
        <v>353</v>
      </c>
      <c r="D83" s="216">
        <v>3.98</v>
      </c>
      <c r="E83" s="216" t="s">
        <v>352</v>
      </c>
    </row>
    <row r="84" spans="1:5">
      <c r="A84" s="216">
        <v>2021</v>
      </c>
      <c r="B84" s="216" t="s">
        <v>348</v>
      </c>
      <c r="C84" s="216" t="s">
        <v>351</v>
      </c>
      <c r="D84" s="216">
        <v>5263</v>
      </c>
      <c r="E84" s="216" t="s">
        <v>331</v>
      </c>
    </row>
    <row r="85" spans="1:5">
      <c r="A85" s="216">
        <v>2021</v>
      </c>
      <c r="B85" s="216" t="s">
        <v>348</v>
      </c>
      <c r="C85" s="216" t="s">
        <v>350</v>
      </c>
      <c r="D85" s="216">
        <v>1799.42</v>
      </c>
      <c r="E85" s="216" t="s">
        <v>349</v>
      </c>
    </row>
    <row r="86" spans="1:5">
      <c r="A86" s="216">
        <v>2021</v>
      </c>
      <c r="B86" s="216" t="s">
        <v>348</v>
      </c>
      <c r="C86" s="216" t="s">
        <v>347</v>
      </c>
      <c r="D86" s="216">
        <v>3.88</v>
      </c>
      <c r="E86" s="216" t="s">
        <v>346</v>
      </c>
    </row>
    <row r="87" spans="1:5">
      <c r="A87" s="216">
        <v>2021</v>
      </c>
      <c r="B87" s="216" t="s">
        <v>345</v>
      </c>
      <c r="C87" s="216" t="s">
        <v>344</v>
      </c>
      <c r="D87" s="216">
        <v>0.06</v>
      </c>
      <c r="E87" s="216" t="s">
        <v>343</v>
      </c>
    </row>
    <row r="88" spans="1:5">
      <c r="A88" s="216">
        <v>2021</v>
      </c>
      <c r="B88" s="216" t="s">
        <v>340</v>
      </c>
      <c r="C88" s="216" t="s">
        <v>342</v>
      </c>
      <c r="D88" s="216">
        <v>60.2</v>
      </c>
      <c r="E88" s="216" t="s">
        <v>341</v>
      </c>
    </row>
    <row r="89" spans="1:5">
      <c r="A89" s="216">
        <v>2021</v>
      </c>
      <c r="B89" s="216" t="s">
        <v>340</v>
      </c>
      <c r="C89" s="216" t="s">
        <v>339</v>
      </c>
      <c r="D89" s="216">
        <v>165.4</v>
      </c>
      <c r="E89" s="216" t="s">
        <v>338</v>
      </c>
    </row>
    <row r="90" spans="1:5">
      <c r="A90" s="216">
        <v>2021</v>
      </c>
      <c r="B90" s="216" t="s">
        <v>337</v>
      </c>
      <c r="C90" s="216" t="s">
        <v>336</v>
      </c>
      <c r="D90" s="216">
        <v>217321</v>
      </c>
      <c r="E90" s="216" t="s">
        <v>335</v>
      </c>
    </row>
    <row r="91" spans="1:5">
      <c r="A91" s="216">
        <v>2021</v>
      </c>
      <c r="B91" s="216" t="s">
        <v>333</v>
      </c>
      <c r="C91" s="216" t="s">
        <v>334</v>
      </c>
      <c r="D91" s="216">
        <v>751</v>
      </c>
      <c r="E91" s="216" t="s">
        <v>331</v>
      </c>
    </row>
    <row r="92" spans="1:5">
      <c r="A92" s="216">
        <v>2021</v>
      </c>
      <c r="B92" s="216" t="s">
        <v>333</v>
      </c>
      <c r="C92" s="216" t="s">
        <v>332</v>
      </c>
      <c r="D92" s="216">
        <v>336</v>
      </c>
      <c r="E92" s="216" t="s">
        <v>331</v>
      </c>
    </row>
    <row r="93" spans="1:5">
      <c r="A93" s="216">
        <v>2022</v>
      </c>
      <c r="B93" s="216" t="s">
        <v>358</v>
      </c>
      <c r="C93" s="216" t="s">
        <v>360</v>
      </c>
      <c r="D93" s="216">
        <v>565662.29</v>
      </c>
      <c r="E93" s="216" t="s">
        <v>359</v>
      </c>
    </row>
    <row r="94" spans="1:5">
      <c r="A94" s="216">
        <v>2022</v>
      </c>
      <c r="B94" s="216" t="s">
        <v>358</v>
      </c>
      <c r="C94" s="216" t="s">
        <v>357</v>
      </c>
      <c r="D94" s="216">
        <v>292000</v>
      </c>
      <c r="E94" s="216" t="s">
        <v>356</v>
      </c>
    </row>
    <row r="95" spans="1:5">
      <c r="A95" s="216">
        <v>2022</v>
      </c>
      <c r="B95" s="216" t="s">
        <v>348</v>
      </c>
      <c r="C95" s="216" t="s">
        <v>355</v>
      </c>
      <c r="D95" s="216">
        <v>0.5</v>
      </c>
      <c r="E95" s="216" t="s">
        <v>354</v>
      </c>
    </row>
    <row r="96" spans="1:5">
      <c r="A96" s="216">
        <v>2022</v>
      </c>
      <c r="B96" s="216" t="s">
        <v>348</v>
      </c>
      <c r="C96" s="216" t="s">
        <v>353</v>
      </c>
      <c r="D96" s="216">
        <v>7.9</v>
      </c>
      <c r="E96" s="216" t="s">
        <v>352</v>
      </c>
    </row>
    <row r="97" spans="1:5">
      <c r="A97" s="216">
        <v>2022</v>
      </c>
      <c r="B97" s="216" t="s">
        <v>348</v>
      </c>
      <c r="C97" s="216" t="s">
        <v>351</v>
      </c>
      <c r="D97" s="216">
        <v>5364</v>
      </c>
      <c r="E97" s="216" t="s">
        <v>331</v>
      </c>
    </row>
    <row r="98" spans="1:5">
      <c r="A98" s="216">
        <v>2022</v>
      </c>
      <c r="B98" s="216" t="s">
        <v>348</v>
      </c>
      <c r="C98" s="216" t="s">
        <v>350</v>
      </c>
      <c r="D98" s="216">
        <v>1801.13</v>
      </c>
      <c r="E98" s="216" t="s">
        <v>349</v>
      </c>
    </row>
    <row r="99" spans="1:5">
      <c r="A99" s="216">
        <v>2022</v>
      </c>
      <c r="B99" s="216" t="s">
        <v>348</v>
      </c>
      <c r="C99" s="216" t="s">
        <v>347</v>
      </c>
      <c r="D99" s="216">
        <v>3.84</v>
      </c>
      <c r="E99" s="216" t="s">
        <v>346</v>
      </c>
    </row>
    <row r="100" spans="1:5">
      <c r="A100" s="216">
        <v>2022</v>
      </c>
      <c r="B100" s="216" t="s">
        <v>345</v>
      </c>
      <c r="C100" s="216" t="s">
        <v>344</v>
      </c>
      <c r="D100" s="216">
        <v>0.21</v>
      </c>
      <c r="E100" s="216" t="s">
        <v>343</v>
      </c>
    </row>
    <row r="101" spans="1:5">
      <c r="A101" s="216">
        <v>2022</v>
      </c>
      <c r="B101" s="216" t="s">
        <v>340</v>
      </c>
      <c r="C101" s="216" t="s">
        <v>342</v>
      </c>
      <c r="D101" s="216">
        <v>54.7</v>
      </c>
      <c r="E101" s="216" t="s">
        <v>341</v>
      </c>
    </row>
    <row r="102" spans="1:5">
      <c r="A102" s="216">
        <v>2022</v>
      </c>
      <c r="B102" s="216" t="s">
        <v>340</v>
      </c>
      <c r="C102" s="216" t="s">
        <v>339</v>
      </c>
      <c r="D102" s="216">
        <v>209</v>
      </c>
      <c r="E102" s="216" t="s">
        <v>338</v>
      </c>
    </row>
    <row r="103" spans="1:5">
      <c r="A103" s="216">
        <v>2022</v>
      </c>
      <c r="B103" s="216" t="s">
        <v>337</v>
      </c>
      <c r="C103" s="216" t="s">
        <v>336</v>
      </c>
      <c r="D103" s="216">
        <v>232190</v>
      </c>
      <c r="E103" s="216" t="s">
        <v>335</v>
      </c>
    </row>
    <row r="104" spans="1:5">
      <c r="A104" s="216">
        <v>2022</v>
      </c>
      <c r="B104" s="216" t="s">
        <v>333</v>
      </c>
      <c r="C104" s="216" t="s">
        <v>334</v>
      </c>
      <c r="D104" s="216">
        <v>703</v>
      </c>
      <c r="E104" s="216" t="s">
        <v>331</v>
      </c>
    </row>
    <row r="105" spans="1:5">
      <c r="A105" s="216">
        <v>2022</v>
      </c>
      <c r="B105" s="216" t="s">
        <v>333</v>
      </c>
      <c r="C105" s="216" t="s">
        <v>332</v>
      </c>
      <c r="D105" s="216">
        <v>429</v>
      </c>
      <c r="E105" s="216" t="s">
        <v>331</v>
      </c>
    </row>
    <row r="106" spans="1:5">
      <c r="A106" s="216">
        <v>2023</v>
      </c>
      <c r="B106" s="216" t="s">
        <v>358</v>
      </c>
      <c r="C106" s="216" t="s">
        <v>360</v>
      </c>
      <c r="D106" s="216">
        <v>547918.98</v>
      </c>
      <c r="E106" s="216" t="s">
        <v>359</v>
      </c>
    </row>
    <row r="107" spans="1:5">
      <c r="A107" s="216">
        <v>2023</v>
      </c>
      <c r="B107" s="216" t="s">
        <v>358</v>
      </c>
      <c r="C107" s="216" t="s">
        <v>357</v>
      </c>
      <c r="D107" s="216">
        <v>234000</v>
      </c>
      <c r="E107" s="216" t="s">
        <v>356</v>
      </c>
    </row>
    <row r="108" spans="1:5">
      <c r="A108" s="216">
        <v>2023</v>
      </c>
      <c r="B108" s="216" t="s">
        <v>348</v>
      </c>
      <c r="C108" s="216" t="s">
        <v>355</v>
      </c>
      <c r="D108" s="216">
        <v>9.4</v>
      </c>
      <c r="E108" s="216" t="s">
        <v>354</v>
      </c>
    </row>
    <row r="109" spans="1:5">
      <c r="A109" s="216">
        <v>2023</v>
      </c>
      <c r="B109" s="216" t="s">
        <v>348</v>
      </c>
      <c r="C109" s="216" t="s">
        <v>353</v>
      </c>
      <c r="D109" s="216">
        <v>6.3</v>
      </c>
      <c r="E109" s="216" t="s">
        <v>352</v>
      </c>
    </row>
    <row r="110" spans="1:5">
      <c r="A110" s="216">
        <v>2023</v>
      </c>
      <c r="B110" s="216" t="s">
        <v>348</v>
      </c>
      <c r="C110" s="216" t="s">
        <v>351</v>
      </c>
      <c r="D110" s="216">
        <v>4715</v>
      </c>
      <c r="E110" s="216" t="s">
        <v>331</v>
      </c>
    </row>
    <row r="111" spans="1:5">
      <c r="A111" s="216">
        <v>2023</v>
      </c>
      <c r="B111" s="216" t="s">
        <v>348</v>
      </c>
      <c r="C111" s="216" t="s">
        <v>350</v>
      </c>
      <c r="D111" s="216">
        <v>1943.44</v>
      </c>
      <c r="E111" s="216" t="s">
        <v>349</v>
      </c>
    </row>
    <row r="112" spans="1:5">
      <c r="A112" s="216">
        <v>2023</v>
      </c>
      <c r="B112" s="216" t="s">
        <v>348</v>
      </c>
      <c r="C112" s="216" t="s">
        <v>347</v>
      </c>
      <c r="D112" s="216">
        <v>3.74</v>
      </c>
      <c r="E112" s="216" t="s">
        <v>346</v>
      </c>
    </row>
    <row r="113" spans="1:5">
      <c r="A113" s="216">
        <v>2023</v>
      </c>
      <c r="B113" s="216" t="s">
        <v>345</v>
      </c>
      <c r="C113" s="216" t="s">
        <v>344</v>
      </c>
      <c r="D113" s="216">
        <v>0.28999999999999998</v>
      </c>
      <c r="E113" s="216" t="s">
        <v>343</v>
      </c>
    </row>
    <row r="114" spans="1:5">
      <c r="A114" s="216">
        <v>2023</v>
      </c>
      <c r="B114" s="216" t="s">
        <v>340</v>
      </c>
      <c r="C114" s="216" t="s">
        <v>342</v>
      </c>
      <c r="D114" s="216">
        <v>53.5</v>
      </c>
      <c r="E114" s="216" t="s">
        <v>341</v>
      </c>
    </row>
    <row r="115" spans="1:5">
      <c r="A115" s="216">
        <v>2023</v>
      </c>
      <c r="B115" s="216" t="s">
        <v>340</v>
      </c>
      <c r="C115" s="216" t="s">
        <v>339</v>
      </c>
      <c r="D115" s="216">
        <v>183.8</v>
      </c>
      <c r="E115" s="216" t="s">
        <v>338</v>
      </c>
    </row>
    <row r="116" spans="1:5">
      <c r="A116" s="216">
        <v>2023</v>
      </c>
      <c r="B116" s="216" t="s">
        <v>337</v>
      </c>
      <c r="C116" s="216" t="s">
        <v>336</v>
      </c>
      <c r="D116" s="216">
        <v>226237</v>
      </c>
      <c r="E116" s="216" t="s">
        <v>335</v>
      </c>
    </row>
    <row r="117" spans="1:5">
      <c r="A117" s="216">
        <v>2023</v>
      </c>
      <c r="B117" s="216" t="s">
        <v>333</v>
      </c>
      <c r="C117" s="216" t="s">
        <v>334</v>
      </c>
      <c r="D117" s="216">
        <v>821</v>
      </c>
      <c r="E117" s="216" t="s">
        <v>331</v>
      </c>
    </row>
    <row r="118" spans="1:5">
      <c r="A118" s="216">
        <v>2023</v>
      </c>
      <c r="B118" s="216" t="s">
        <v>333</v>
      </c>
      <c r="C118" s="216" t="s">
        <v>332</v>
      </c>
      <c r="D118" s="216">
        <v>433</v>
      </c>
      <c r="E118" s="216" t="s">
        <v>331</v>
      </c>
    </row>
    <row r="119" spans="1:5">
      <c r="A119" s="216">
        <v>2024</v>
      </c>
      <c r="B119" s="216" t="s">
        <v>358</v>
      </c>
      <c r="C119" s="216" t="s">
        <v>360</v>
      </c>
      <c r="D119" s="216">
        <v>508359</v>
      </c>
      <c r="E119" s="216" t="s">
        <v>359</v>
      </c>
    </row>
    <row r="120" spans="1:5">
      <c r="A120" s="216">
        <v>2024</v>
      </c>
      <c r="B120" s="216" t="s">
        <v>358</v>
      </c>
      <c r="C120" s="216" t="s">
        <v>357</v>
      </c>
      <c r="D120" s="216">
        <v>396157.56</v>
      </c>
      <c r="E120" s="216" t="s">
        <v>356</v>
      </c>
    </row>
    <row r="121" spans="1:5">
      <c r="A121" s="216">
        <v>2024</v>
      </c>
      <c r="B121" s="216" t="s">
        <v>348</v>
      </c>
      <c r="C121" s="216" t="s">
        <v>355</v>
      </c>
      <c r="D121" s="216">
        <v>3</v>
      </c>
      <c r="E121" s="216" t="s">
        <v>354</v>
      </c>
    </row>
    <row r="122" spans="1:5">
      <c r="A122" s="216">
        <v>2024</v>
      </c>
      <c r="B122" s="216" t="s">
        <v>348</v>
      </c>
      <c r="C122" s="216" t="s">
        <v>353</v>
      </c>
      <c r="D122" s="216">
        <v>2.4</v>
      </c>
      <c r="E122" s="216" t="s">
        <v>352</v>
      </c>
    </row>
    <row r="123" spans="1:5">
      <c r="A123" s="216">
        <v>2024</v>
      </c>
      <c r="B123" s="216" t="s">
        <v>348</v>
      </c>
      <c r="C123" s="216" t="s">
        <v>351</v>
      </c>
      <c r="D123" s="216">
        <v>5011</v>
      </c>
      <c r="E123" s="216" t="s">
        <v>331</v>
      </c>
    </row>
    <row r="124" spans="1:5">
      <c r="A124" s="216">
        <v>2024</v>
      </c>
      <c r="B124" s="216" t="s">
        <v>348</v>
      </c>
      <c r="C124" s="216" t="s">
        <v>350</v>
      </c>
      <c r="D124" s="216">
        <v>2387.98</v>
      </c>
      <c r="E124" s="216" t="s">
        <v>349</v>
      </c>
    </row>
    <row r="125" spans="1:5">
      <c r="A125" s="216">
        <v>2024</v>
      </c>
      <c r="B125" s="216" t="s">
        <v>348</v>
      </c>
      <c r="C125" s="216" t="s">
        <v>347</v>
      </c>
      <c r="D125" s="216">
        <v>3.75</v>
      </c>
      <c r="E125" s="216" t="s">
        <v>346</v>
      </c>
    </row>
    <row r="126" spans="1:5">
      <c r="A126" s="216">
        <v>2024</v>
      </c>
      <c r="B126" s="216" t="s">
        <v>345</v>
      </c>
      <c r="C126" s="216" t="s">
        <v>344</v>
      </c>
      <c r="D126" s="216">
        <v>0.08</v>
      </c>
      <c r="E126" s="216" t="s">
        <v>343</v>
      </c>
    </row>
    <row r="127" spans="1:5">
      <c r="A127" s="216">
        <v>2024</v>
      </c>
      <c r="B127" s="216" t="s">
        <v>340</v>
      </c>
      <c r="C127" s="216" t="s">
        <v>342</v>
      </c>
      <c r="D127" s="216">
        <v>54.7</v>
      </c>
      <c r="E127" s="216" t="s">
        <v>341</v>
      </c>
    </row>
    <row r="128" spans="1:5">
      <c r="A128" s="216">
        <v>2024</v>
      </c>
      <c r="B128" s="216" t="s">
        <v>340</v>
      </c>
      <c r="C128" s="216" t="s">
        <v>339</v>
      </c>
      <c r="D128" s="216">
        <v>159.1</v>
      </c>
      <c r="E128" s="216" t="s">
        <v>338</v>
      </c>
    </row>
    <row r="129" spans="1:5">
      <c r="A129" s="216">
        <v>2024</v>
      </c>
      <c r="B129" s="216" t="s">
        <v>337</v>
      </c>
      <c r="C129" s="216" t="s">
        <v>336</v>
      </c>
      <c r="D129" s="216">
        <v>238860</v>
      </c>
      <c r="E129" s="216" t="s">
        <v>335</v>
      </c>
    </row>
    <row r="130" spans="1:5">
      <c r="A130" s="216">
        <v>2024</v>
      </c>
      <c r="B130" s="216" t="s">
        <v>333</v>
      </c>
      <c r="C130" s="216" t="s">
        <v>334</v>
      </c>
      <c r="D130" s="216">
        <v>994</v>
      </c>
      <c r="E130" s="216" t="s">
        <v>331</v>
      </c>
    </row>
    <row r="131" spans="1:5">
      <c r="A131" s="216">
        <v>2024</v>
      </c>
      <c r="B131" s="216" t="s">
        <v>333</v>
      </c>
      <c r="C131" s="216" t="s">
        <v>332</v>
      </c>
      <c r="D131" s="216">
        <v>569</v>
      </c>
      <c r="E131" s="216" t="s">
        <v>331</v>
      </c>
    </row>
    <row r="132" spans="1:5">
      <c r="A132" s="216">
        <v>2025</v>
      </c>
      <c r="B132" s="216" t="s">
        <v>358</v>
      </c>
      <c r="C132" s="216" t="s">
        <v>360</v>
      </c>
      <c r="D132" s="216">
        <v>669556.93000000005</v>
      </c>
      <c r="E132" s="216" t="s">
        <v>359</v>
      </c>
    </row>
    <row r="133" spans="1:5">
      <c r="A133" s="216">
        <v>2025</v>
      </c>
      <c r="B133" s="216" t="s">
        <v>358</v>
      </c>
      <c r="C133" s="216" t="s">
        <v>357</v>
      </c>
      <c r="E133" s="216" t="s">
        <v>356</v>
      </c>
    </row>
    <row r="134" spans="1:5">
      <c r="A134" s="216">
        <v>2025</v>
      </c>
      <c r="B134" s="216" t="s">
        <v>348</v>
      </c>
      <c r="C134" s="216" t="s">
        <v>355</v>
      </c>
      <c r="D134" s="216">
        <v>1.5</v>
      </c>
      <c r="E134" s="216" t="s">
        <v>354</v>
      </c>
    </row>
    <row r="135" spans="1:5">
      <c r="A135" s="216">
        <v>2025</v>
      </c>
      <c r="B135" s="216" t="s">
        <v>348</v>
      </c>
      <c r="C135" s="216" t="s">
        <v>353</v>
      </c>
      <c r="D135" s="216">
        <v>1.5</v>
      </c>
      <c r="E135" s="216" t="s">
        <v>352</v>
      </c>
    </row>
    <row r="136" spans="1:5">
      <c r="A136" s="216">
        <v>2025</v>
      </c>
      <c r="B136" s="216" t="s">
        <v>348</v>
      </c>
      <c r="C136" s="216" t="s">
        <v>351</v>
      </c>
      <c r="D136" s="216">
        <v>6228</v>
      </c>
      <c r="E136" s="216" t="s">
        <v>331</v>
      </c>
    </row>
    <row r="137" spans="1:5">
      <c r="A137" s="216">
        <v>2025</v>
      </c>
      <c r="B137" s="216" t="s">
        <v>348</v>
      </c>
      <c r="C137" s="216" t="s">
        <v>350</v>
      </c>
      <c r="D137" s="216">
        <v>3441.58</v>
      </c>
      <c r="E137" s="216" t="s">
        <v>349</v>
      </c>
    </row>
    <row r="138" spans="1:5">
      <c r="A138" s="216">
        <v>2025</v>
      </c>
      <c r="B138" s="216" t="s">
        <v>348</v>
      </c>
      <c r="C138" s="216" t="s">
        <v>347</v>
      </c>
      <c r="D138" s="216">
        <v>3.57</v>
      </c>
      <c r="E138" s="216" t="s">
        <v>346</v>
      </c>
    </row>
    <row r="139" spans="1:5">
      <c r="A139" s="306">
        <v>2025</v>
      </c>
      <c r="B139" s="306" t="s">
        <v>345</v>
      </c>
      <c r="C139" s="306" t="s">
        <v>344</v>
      </c>
      <c r="D139" s="306">
        <v>0.1</v>
      </c>
      <c r="E139" s="306" t="s">
        <v>343</v>
      </c>
    </row>
    <row r="140" spans="1:5">
      <c r="A140" s="306">
        <v>2025</v>
      </c>
      <c r="B140" s="306" t="s">
        <v>340</v>
      </c>
      <c r="C140" s="306" t="s">
        <v>342</v>
      </c>
      <c r="D140" s="306">
        <v>55</v>
      </c>
      <c r="E140" s="306" t="s">
        <v>341</v>
      </c>
    </row>
    <row r="141" spans="1:5">
      <c r="A141" s="216">
        <v>2025</v>
      </c>
      <c r="B141" s="216" t="s">
        <v>340</v>
      </c>
      <c r="C141" s="216" t="s">
        <v>339</v>
      </c>
      <c r="D141" s="216">
        <v>145.30000000000001</v>
      </c>
      <c r="E141" s="216" t="s">
        <v>338</v>
      </c>
    </row>
    <row r="142" spans="1:5">
      <c r="A142" s="216">
        <v>2025</v>
      </c>
      <c r="B142" s="216" t="s">
        <v>337</v>
      </c>
      <c r="C142" s="216" t="s">
        <v>336</v>
      </c>
      <c r="D142" s="216">
        <v>264054</v>
      </c>
      <c r="E142" s="216" t="s">
        <v>335</v>
      </c>
    </row>
    <row r="143" spans="1:5">
      <c r="A143" s="216">
        <v>2025</v>
      </c>
      <c r="B143" s="216" t="s">
        <v>333</v>
      </c>
      <c r="C143" s="216" t="s">
        <v>334</v>
      </c>
      <c r="D143" s="216">
        <v>1303</v>
      </c>
      <c r="E143" s="216" t="s">
        <v>331</v>
      </c>
    </row>
    <row r="144" spans="1:5">
      <c r="A144" s="216">
        <v>2025</v>
      </c>
      <c r="B144" s="216" t="s">
        <v>333</v>
      </c>
      <c r="C144" s="216" t="s">
        <v>332</v>
      </c>
      <c r="D144" s="216">
        <v>788</v>
      </c>
      <c r="E144" s="216" t="s">
        <v>331</v>
      </c>
    </row>
  </sheetData>
  <autoFilter ref="A1:E144" xr:uid="{00000000-0009-0000-0000-000000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63D0-8D4C-459D-B5A5-6D79CBFEAD78}">
  <dimension ref="A1:I6"/>
  <sheetViews>
    <sheetView showGridLines="0" workbookViewId="0">
      <pane ySplit="1" topLeftCell="A2" activePane="bottomLeft" state="frozen"/>
      <selection pane="bottomLeft" activeCell="B17" sqref="B17"/>
    </sheetView>
  </sheetViews>
  <sheetFormatPr baseColWidth="10" defaultColWidth="8.7265625" defaultRowHeight="14.5"/>
  <cols>
    <col min="1" max="1" width="15" style="216" customWidth="1"/>
    <col min="2" max="9" width="12" style="216" customWidth="1"/>
    <col min="10" max="16384" width="8.7265625" style="216"/>
  </cols>
  <sheetData>
    <row r="1" spans="1:9">
      <c r="A1" s="310" t="s">
        <v>365</v>
      </c>
      <c r="B1" s="310">
        <v>2018</v>
      </c>
      <c r="C1" s="310">
        <v>2019</v>
      </c>
      <c r="D1" s="310">
        <v>2020</v>
      </c>
      <c r="E1" s="310">
        <v>2021</v>
      </c>
      <c r="F1" s="310">
        <v>2022</v>
      </c>
      <c r="G1" s="310">
        <v>2023</v>
      </c>
      <c r="H1" s="310">
        <v>2024</v>
      </c>
      <c r="I1" s="310">
        <v>2025</v>
      </c>
    </row>
    <row r="2" spans="1:9" hidden="1">
      <c r="A2" s="309" t="s">
        <v>9</v>
      </c>
      <c r="B2" s="308">
        <v>0.94</v>
      </c>
      <c r="C2" s="308">
        <v>0.62</v>
      </c>
      <c r="D2" s="308">
        <v>0.65</v>
      </c>
      <c r="E2" s="308">
        <v>0.85</v>
      </c>
      <c r="F2" s="308">
        <v>0.81</v>
      </c>
      <c r="G2" s="308">
        <v>0.73</v>
      </c>
      <c r="H2" s="308">
        <v>0.49</v>
      </c>
      <c r="I2" s="308">
        <v>0.27</v>
      </c>
    </row>
    <row r="3" spans="1:9">
      <c r="A3" s="309" t="s">
        <v>11</v>
      </c>
      <c r="B3" s="308">
        <v>1</v>
      </c>
      <c r="C3" s="308">
        <v>0.94</v>
      </c>
      <c r="D3" s="308">
        <v>0.67</v>
      </c>
      <c r="E3" s="308">
        <v>0.47</v>
      </c>
      <c r="F3" s="308">
        <v>0.31</v>
      </c>
      <c r="G3" s="308">
        <v>0.23</v>
      </c>
      <c r="H3" s="308">
        <v>0.86</v>
      </c>
      <c r="I3" s="308">
        <v>0.79</v>
      </c>
    </row>
    <row r="4" spans="1:9">
      <c r="A4" s="309" t="s">
        <v>18</v>
      </c>
      <c r="B4" s="308">
        <v>0.06</v>
      </c>
      <c r="C4" s="308">
        <v>0.11</v>
      </c>
      <c r="D4" s="308">
        <v>0.05</v>
      </c>
      <c r="E4" s="308">
        <v>0.08</v>
      </c>
      <c r="F4" s="308">
        <v>0.06</v>
      </c>
      <c r="G4" s="308">
        <v>0.08</v>
      </c>
      <c r="H4" s="308">
        <v>0.08</v>
      </c>
      <c r="I4" s="308">
        <v>0.13</v>
      </c>
    </row>
    <row r="5" spans="1:9">
      <c r="A5" s="309" t="s">
        <v>15</v>
      </c>
      <c r="B5" s="308">
        <v>0.13</v>
      </c>
      <c r="C5" s="308">
        <v>0.15</v>
      </c>
      <c r="D5" s="308">
        <v>0.09</v>
      </c>
      <c r="E5" s="308">
        <v>0.08</v>
      </c>
      <c r="F5" s="308">
        <v>0.06</v>
      </c>
      <c r="G5" s="308">
        <v>0.03</v>
      </c>
      <c r="H5" s="308">
        <v>0.09</v>
      </c>
      <c r="I5" s="308">
        <v>0.06</v>
      </c>
    </row>
    <row r="6" spans="1:9">
      <c r="A6" s="309" t="s">
        <v>13</v>
      </c>
      <c r="B6" s="308">
        <v>0.76</v>
      </c>
      <c r="C6" s="308">
        <v>0.77</v>
      </c>
      <c r="D6" s="308">
        <v>0.56000000000000005</v>
      </c>
      <c r="E6" s="308">
        <v>0.35</v>
      </c>
      <c r="F6" s="308">
        <v>0.25</v>
      </c>
      <c r="G6" s="308">
        <v>0.14000000000000001</v>
      </c>
      <c r="H6" s="308">
        <v>0.31</v>
      </c>
      <c r="I6" s="308">
        <v>0.28999999999999998</v>
      </c>
    </row>
  </sheetData>
  <autoFilter ref="A1:I6" xr:uid="{00000000-0009-0000-0000-000000000000}"/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0CA8-CBF0-472A-83B3-8B44C7623EE1}">
  <dimension ref="A1:Q36"/>
  <sheetViews>
    <sheetView showGridLines="0" zoomScale="74" workbookViewId="0">
      <pane ySplit="1" topLeftCell="A2" activePane="bottomLeft" state="frozen"/>
      <selection pane="bottomLeft" activeCell="J12" sqref="J12"/>
    </sheetView>
  </sheetViews>
  <sheetFormatPr baseColWidth="10" defaultColWidth="8.7265625" defaultRowHeight="14.5"/>
  <cols>
    <col min="1" max="1" width="10" style="216" customWidth="1"/>
    <col min="2" max="2" width="13.453125" style="216" bestFit="1" customWidth="1"/>
    <col min="3" max="3" width="12" style="320" customWidth="1"/>
    <col min="4" max="4" width="12" style="216" customWidth="1"/>
    <col min="5" max="5" width="14" style="216" hidden="1" customWidth="1"/>
    <col min="6" max="6" width="14" style="216" customWidth="1"/>
    <col min="7" max="7" width="18" style="216" customWidth="1"/>
    <col min="8" max="16384" width="8.7265625" style="216"/>
  </cols>
  <sheetData>
    <row r="1" spans="1:17">
      <c r="A1" s="319" t="s">
        <v>364</v>
      </c>
      <c r="B1" s="328" t="s">
        <v>365</v>
      </c>
      <c r="C1" s="327" t="s">
        <v>376</v>
      </c>
      <c r="D1" s="326" t="s">
        <v>375</v>
      </c>
      <c r="E1" s="319" t="s">
        <v>374</v>
      </c>
      <c r="F1" s="319" t="s">
        <v>373</v>
      </c>
      <c r="G1" s="319" t="s">
        <v>372</v>
      </c>
    </row>
    <row r="2" spans="1:17">
      <c r="A2" s="325">
        <v>2019</v>
      </c>
      <c r="B2" s="324" t="s">
        <v>9</v>
      </c>
      <c r="C2" s="323">
        <v>0.62</v>
      </c>
      <c r="D2" s="322">
        <v>-8.4000000000000005E-2</v>
      </c>
      <c r="E2" s="318" t="s">
        <v>369</v>
      </c>
      <c r="F2" s="318" t="s">
        <v>367</v>
      </c>
      <c r="G2" s="318" t="s">
        <v>370</v>
      </c>
      <c r="J2" s="315"/>
      <c r="K2" s="315"/>
      <c r="L2" s="314"/>
      <c r="N2" s="315"/>
      <c r="O2" s="315"/>
      <c r="P2" s="314"/>
    </row>
    <row r="3" spans="1:17" ht="17" customHeight="1">
      <c r="A3" s="325">
        <v>2019</v>
      </c>
      <c r="B3" s="324" t="s">
        <v>11</v>
      </c>
      <c r="C3" s="323">
        <v>0.94</v>
      </c>
      <c r="D3" s="322">
        <v>-7.1999999999999995E-2</v>
      </c>
      <c r="E3" s="318" t="s">
        <v>369</v>
      </c>
      <c r="F3" s="318" t="s">
        <v>367</v>
      </c>
      <c r="G3" s="318" t="s">
        <v>370</v>
      </c>
      <c r="J3" s="321"/>
      <c r="K3" s="321"/>
      <c r="L3" s="311"/>
      <c r="M3" s="315"/>
      <c r="N3" s="321"/>
      <c r="O3" s="321"/>
      <c r="P3" s="311"/>
      <c r="Q3" s="314"/>
    </row>
    <row r="4" spans="1:17">
      <c r="A4" s="325">
        <v>2019</v>
      </c>
      <c r="B4" s="324" t="s">
        <v>18</v>
      </c>
      <c r="C4" s="323">
        <v>0.11</v>
      </c>
      <c r="D4" s="322">
        <v>8.0000000000000002E-3</v>
      </c>
      <c r="E4" s="318" t="s">
        <v>367</v>
      </c>
      <c r="F4" s="318" t="s">
        <v>367</v>
      </c>
      <c r="G4" s="318" t="s">
        <v>366</v>
      </c>
      <c r="J4" s="321"/>
      <c r="K4" s="321"/>
      <c r="L4" s="311"/>
      <c r="M4" s="321"/>
      <c r="N4" s="321"/>
      <c r="O4" s="321"/>
      <c r="P4" s="311"/>
      <c r="Q4" s="311"/>
    </row>
    <row r="5" spans="1:17">
      <c r="A5" s="325">
        <v>2019</v>
      </c>
      <c r="B5" s="324" t="s">
        <v>15</v>
      </c>
      <c r="C5" s="323">
        <v>0.15</v>
      </c>
      <c r="D5" s="322">
        <v>-4.7E-2</v>
      </c>
      <c r="E5" s="318" t="s">
        <v>367</v>
      </c>
      <c r="F5" s="318" t="s">
        <v>367</v>
      </c>
      <c r="G5" s="318" t="s">
        <v>366</v>
      </c>
      <c r="J5" s="321"/>
      <c r="K5" s="321"/>
      <c r="L5" s="311"/>
      <c r="M5" s="321"/>
      <c r="N5" s="321"/>
      <c r="O5" s="321"/>
      <c r="P5" s="311"/>
      <c r="Q5" s="311"/>
    </row>
    <row r="6" spans="1:17">
      <c r="A6" s="325">
        <v>2019</v>
      </c>
      <c r="B6" s="324" t="s">
        <v>13</v>
      </c>
      <c r="C6" s="323">
        <v>0.77</v>
      </c>
      <c r="D6" s="322">
        <v>6.6000000000000003E-2</v>
      </c>
      <c r="E6" s="318" t="s">
        <v>369</v>
      </c>
      <c r="F6" s="318" t="s">
        <v>367</v>
      </c>
      <c r="G6" s="318" t="s">
        <v>370</v>
      </c>
      <c r="J6" s="321"/>
      <c r="K6" s="321"/>
      <c r="L6" s="311"/>
      <c r="M6" s="321"/>
      <c r="N6" s="321"/>
      <c r="O6" s="321"/>
      <c r="P6" s="311"/>
      <c r="Q6" s="311"/>
    </row>
    <row r="7" spans="1:17">
      <c r="A7" s="325">
        <v>2020</v>
      </c>
      <c r="B7" s="324" t="s">
        <v>9</v>
      </c>
      <c r="C7" s="323">
        <v>0.65</v>
      </c>
      <c r="D7" s="322">
        <v>-0.314</v>
      </c>
      <c r="E7" s="318" t="s">
        <v>369</v>
      </c>
      <c r="F7" s="318" t="s">
        <v>367</v>
      </c>
      <c r="G7" s="318" t="s">
        <v>370</v>
      </c>
      <c r="J7" s="321"/>
      <c r="K7" s="321"/>
      <c r="L7" s="311"/>
      <c r="M7" s="321"/>
      <c r="N7" s="321"/>
      <c r="O7" s="321"/>
      <c r="P7" s="311"/>
      <c r="Q7" s="311"/>
    </row>
    <row r="8" spans="1:17">
      <c r="A8" s="325">
        <v>2020</v>
      </c>
      <c r="B8" s="324" t="s">
        <v>11</v>
      </c>
      <c r="C8" s="323">
        <v>0.67</v>
      </c>
      <c r="D8" s="322">
        <v>-0.29399999999999998</v>
      </c>
      <c r="E8" s="318" t="s">
        <v>369</v>
      </c>
      <c r="F8" s="318" t="s">
        <v>367</v>
      </c>
      <c r="G8" s="318" t="s">
        <v>370</v>
      </c>
      <c r="J8" s="321"/>
      <c r="K8" s="321"/>
      <c r="L8" s="311"/>
      <c r="M8" s="321"/>
      <c r="N8" s="321"/>
      <c r="O8" s="321"/>
      <c r="P8" s="311"/>
      <c r="Q8" s="311"/>
    </row>
    <row r="9" spans="1:17">
      <c r="A9" s="325">
        <v>2020</v>
      </c>
      <c r="B9" s="324" t="s">
        <v>18</v>
      </c>
      <c r="C9" s="323">
        <v>0.05</v>
      </c>
      <c r="D9" s="322">
        <v>-0.127</v>
      </c>
      <c r="E9" s="318" t="s">
        <v>367</v>
      </c>
      <c r="F9" s="318" t="s">
        <v>367</v>
      </c>
      <c r="G9" s="318" t="s">
        <v>366</v>
      </c>
      <c r="J9" s="321"/>
      <c r="K9" s="321"/>
      <c r="L9" s="311"/>
      <c r="M9" s="321"/>
      <c r="N9" s="321"/>
      <c r="O9" s="321"/>
      <c r="P9" s="311"/>
      <c r="Q9" s="311"/>
    </row>
    <row r="10" spans="1:17">
      <c r="A10" s="325">
        <v>2020</v>
      </c>
      <c r="B10" s="324" t="s">
        <v>15</v>
      </c>
      <c r="C10" s="323">
        <v>0.09</v>
      </c>
      <c r="D10" s="322">
        <v>-0.05</v>
      </c>
      <c r="E10" s="318" t="s">
        <v>367</v>
      </c>
      <c r="F10" s="318" t="s">
        <v>367</v>
      </c>
      <c r="G10" s="318" t="s">
        <v>366</v>
      </c>
      <c r="J10" s="321"/>
      <c r="K10" s="321"/>
      <c r="L10" s="311"/>
      <c r="M10" s="321"/>
      <c r="N10" s="321"/>
      <c r="O10" s="321"/>
      <c r="P10" s="311"/>
      <c r="Q10" s="311"/>
    </row>
    <row r="11" spans="1:17">
      <c r="A11" s="325">
        <v>2020</v>
      </c>
      <c r="B11" s="324" t="s">
        <v>13</v>
      </c>
      <c r="C11" s="323">
        <v>0.56000000000000005</v>
      </c>
      <c r="D11" s="322">
        <v>-0.216</v>
      </c>
      <c r="E11" s="318" t="s">
        <v>369</v>
      </c>
      <c r="F11" s="318" t="s">
        <v>367</v>
      </c>
      <c r="G11" s="318" t="s">
        <v>370</v>
      </c>
      <c r="J11" s="321"/>
      <c r="K11" s="321"/>
      <c r="L11" s="311"/>
      <c r="M11" s="321"/>
      <c r="N11" s="321"/>
      <c r="O11" s="321"/>
      <c r="P11" s="311"/>
      <c r="Q11" s="311"/>
    </row>
    <row r="12" spans="1:17">
      <c r="A12" s="325">
        <v>2021</v>
      </c>
      <c r="B12" s="324" t="s">
        <v>9</v>
      </c>
      <c r="C12" s="323">
        <v>0.85</v>
      </c>
      <c r="D12" s="322">
        <v>0.107</v>
      </c>
      <c r="E12" s="318" t="s">
        <v>369</v>
      </c>
      <c r="F12" s="318" t="s">
        <v>369</v>
      </c>
      <c r="G12" s="318" t="s">
        <v>371</v>
      </c>
      <c r="J12" s="321"/>
      <c r="K12" s="321"/>
      <c r="L12" s="311"/>
      <c r="M12" s="321"/>
      <c r="N12" s="321"/>
      <c r="O12" s="321"/>
      <c r="P12" s="311"/>
      <c r="Q12" s="311"/>
    </row>
    <row r="13" spans="1:17">
      <c r="A13" s="325">
        <v>2021</v>
      </c>
      <c r="B13" s="324" t="s">
        <v>11</v>
      </c>
      <c r="C13" s="323">
        <v>0.47</v>
      </c>
      <c r="D13" s="322">
        <v>0.224</v>
      </c>
      <c r="E13" s="318" t="s">
        <v>367</v>
      </c>
      <c r="F13" s="318" t="s">
        <v>369</v>
      </c>
      <c r="G13" s="318" t="s">
        <v>368</v>
      </c>
      <c r="J13" s="321"/>
      <c r="K13" s="321"/>
      <c r="L13" s="311"/>
      <c r="M13" s="321"/>
      <c r="N13" s="321"/>
      <c r="O13" s="321"/>
      <c r="P13" s="311"/>
      <c r="Q13" s="311"/>
    </row>
    <row r="14" spans="1:17">
      <c r="A14" s="325">
        <v>2021</v>
      </c>
      <c r="B14" s="324" t="s">
        <v>18</v>
      </c>
      <c r="C14" s="323">
        <v>0.08</v>
      </c>
      <c r="D14" s="322">
        <v>7.6999999999999999E-2</v>
      </c>
      <c r="E14" s="318" t="s">
        <v>367</v>
      </c>
      <c r="F14" s="318" t="s">
        <v>367</v>
      </c>
      <c r="G14" s="318" t="s">
        <v>366</v>
      </c>
      <c r="J14" s="321"/>
      <c r="K14" s="321"/>
      <c r="L14" s="311"/>
      <c r="M14" s="321"/>
      <c r="N14" s="321"/>
      <c r="O14" s="321"/>
      <c r="P14" s="311"/>
      <c r="Q14" s="311"/>
    </row>
    <row r="15" spans="1:17">
      <c r="A15" s="325">
        <v>2021</v>
      </c>
      <c r="B15" s="324" t="s">
        <v>15</v>
      </c>
      <c r="C15" s="323">
        <v>0.08</v>
      </c>
      <c r="D15" s="322">
        <v>0.14899999999999999</v>
      </c>
      <c r="E15" s="318" t="s">
        <v>367</v>
      </c>
      <c r="F15" s="318" t="s">
        <v>369</v>
      </c>
      <c r="G15" s="318" t="s">
        <v>368</v>
      </c>
      <c r="J15" s="321"/>
      <c r="K15" s="321"/>
      <c r="L15" s="311"/>
      <c r="M15" s="321"/>
      <c r="N15" s="321"/>
      <c r="O15" s="321"/>
      <c r="P15" s="311"/>
      <c r="Q15" s="311"/>
    </row>
    <row r="16" spans="1:17">
      <c r="A16" s="325">
        <v>2021</v>
      </c>
      <c r="B16" s="324" t="s">
        <v>13</v>
      </c>
      <c r="C16" s="323">
        <v>0.35</v>
      </c>
      <c r="D16" s="322">
        <v>9.5000000000000001E-2</v>
      </c>
      <c r="E16" s="318" t="s">
        <v>367</v>
      </c>
      <c r="F16" s="318" t="s">
        <v>367</v>
      </c>
      <c r="G16" s="318" t="s">
        <v>366</v>
      </c>
      <c r="J16" s="321"/>
      <c r="K16" s="321"/>
      <c r="L16" s="311"/>
      <c r="M16" s="321"/>
      <c r="N16" s="321"/>
      <c r="O16" s="321"/>
      <c r="P16" s="311"/>
      <c r="Q16" s="311"/>
    </row>
    <row r="17" spans="1:17">
      <c r="A17" s="325">
        <v>2022</v>
      </c>
      <c r="B17" s="324" t="s">
        <v>9</v>
      </c>
      <c r="C17" s="323">
        <v>0.81</v>
      </c>
      <c r="D17" s="322">
        <v>-5.0000000000000001E-3</v>
      </c>
      <c r="E17" s="318" t="s">
        <v>369</v>
      </c>
      <c r="F17" s="318" t="s">
        <v>367</v>
      </c>
      <c r="G17" s="318" t="s">
        <v>370</v>
      </c>
      <c r="J17" s="321"/>
      <c r="K17" s="321"/>
      <c r="L17" s="311"/>
      <c r="M17" s="321"/>
      <c r="N17" s="321"/>
      <c r="O17" s="321"/>
      <c r="P17" s="311"/>
      <c r="Q17" s="311"/>
    </row>
    <row r="18" spans="1:17">
      <c r="A18" s="325">
        <v>2022</v>
      </c>
      <c r="B18" s="324" t="s">
        <v>11</v>
      </c>
      <c r="C18" s="323">
        <v>0.31</v>
      </c>
      <c r="D18" s="322">
        <v>-7.4999999999999997E-2</v>
      </c>
      <c r="E18" s="318" t="s">
        <v>367</v>
      </c>
      <c r="F18" s="318" t="s">
        <v>367</v>
      </c>
      <c r="G18" s="318" t="s">
        <v>366</v>
      </c>
      <c r="J18" s="321"/>
      <c r="K18" s="321"/>
      <c r="L18" s="311"/>
      <c r="M18" s="321"/>
      <c r="N18" s="321"/>
      <c r="O18" s="321"/>
      <c r="P18" s="311"/>
      <c r="Q18" s="311"/>
    </row>
    <row r="19" spans="1:17">
      <c r="A19" s="325">
        <v>2022</v>
      </c>
      <c r="B19" s="324" t="s">
        <v>18</v>
      </c>
      <c r="C19" s="323">
        <v>0.06</v>
      </c>
      <c r="D19" s="322">
        <v>4.2999999999999997E-2</v>
      </c>
      <c r="E19" s="318" t="s">
        <v>367</v>
      </c>
      <c r="F19" s="318" t="s">
        <v>367</v>
      </c>
      <c r="G19" s="318" t="s">
        <v>366</v>
      </c>
      <c r="J19" s="321"/>
      <c r="K19" s="321"/>
      <c r="L19" s="311"/>
      <c r="M19" s="321"/>
      <c r="N19" s="321"/>
      <c r="O19" s="321"/>
      <c r="P19" s="311"/>
      <c r="Q19" s="311"/>
    </row>
    <row r="20" spans="1:17">
      <c r="A20" s="325">
        <v>2022</v>
      </c>
      <c r="B20" s="324" t="s">
        <v>15</v>
      </c>
      <c r="C20" s="323">
        <v>0.06</v>
      </c>
      <c r="D20" s="322">
        <v>-0.107</v>
      </c>
      <c r="E20" s="318" t="s">
        <v>367</v>
      </c>
      <c r="F20" s="318" t="s">
        <v>367</v>
      </c>
      <c r="G20" s="318" t="s">
        <v>366</v>
      </c>
      <c r="J20" s="321"/>
      <c r="K20" s="321"/>
      <c r="L20" s="311"/>
      <c r="M20" s="321"/>
      <c r="N20" s="321"/>
      <c r="O20" s="321"/>
      <c r="P20" s="311"/>
      <c r="Q20" s="311"/>
    </row>
    <row r="21" spans="1:17">
      <c r="A21" s="325">
        <v>2022</v>
      </c>
      <c r="B21" s="324" t="s">
        <v>13</v>
      </c>
      <c r="C21" s="323">
        <v>0.25</v>
      </c>
      <c r="D21" s="322">
        <v>-3.4000000000000002E-2</v>
      </c>
      <c r="E21" s="318" t="s">
        <v>367</v>
      </c>
      <c r="F21" s="318" t="s">
        <v>367</v>
      </c>
      <c r="G21" s="318" t="s">
        <v>366</v>
      </c>
      <c r="J21" s="321"/>
      <c r="K21" s="321"/>
      <c r="L21" s="311"/>
      <c r="M21" s="321"/>
      <c r="N21" s="321"/>
      <c r="O21" s="321"/>
      <c r="P21" s="311"/>
      <c r="Q21" s="311"/>
    </row>
    <row r="22" spans="1:17">
      <c r="A22" s="325">
        <v>2023</v>
      </c>
      <c r="B22" s="324" t="s">
        <v>9</v>
      </c>
      <c r="C22" s="323">
        <v>0.73</v>
      </c>
      <c r="D22" s="322">
        <v>0.189</v>
      </c>
      <c r="E22" s="318" t="s">
        <v>369</v>
      </c>
      <c r="F22" s="318" t="s">
        <v>369</v>
      </c>
      <c r="G22" s="318" t="s">
        <v>371</v>
      </c>
      <c r="J22" s="321"/>
      <c r="K22" s="321"/>
      <c r="L22" s="311"/>
      <c r="M22" s="321"/>
      <c r="N22" s="321"/>
      <c r="O22" s="321"/>
      <c r="P22" s="311"/>
      <c r="Q22" s="311"/>
    </row>
    <row r="23" spans="1:17">
      <c r="A23" s="325">
        <v>2023</v>
      </c>
      <c r="B23" s="324" t="s">
        <v>11</v>
      </c>
      <c r="C23" s="323">
        <v>0.23</v>
      </c>
      <c r="D23" s="322">
        <v>1.7999999999999999E-2</v>
      </c>
      <c r="E23" s="318" t="s">
        <v>367</v>
      </c>
      <c r="F23" s="318" t="s">
        <v>367</v>
      </c>
      <c r="G23" s="318" t="s">
        <v>366</v>
      </c>
      <c r="J23" s="321"/>
      <c r="K23" s="321"/>
      <c r="L23" s="311"/>
      <c r="M23" s="321"/>
      <c r="N23" s="321"/>
      <c r="O23" s="321"/>
      <c r="P23" s="311"/>
      <c r="Q23" s="311"/>
    </row>
    <row r="24" spans="1:17">
      <c r="A24" s="325">
        <v>2023</v>
      </c>
      <c r="B24" s="324" t="s">
        <v>18</v>
      </c>
      <c r="C24" s="323">
        <v>0.08</v>
      </c>
      <c r="D24" s="322">
        <v>0.128</v>
      </c>
      <c r="E24" s="318" t="s">
        <v>367</v>
      </c>
      <c r="F24" s="318" t="s">
        <v>369</v>
      </c>
      <c r="G24" s="318" t="s">
        <v>368</v>
      </c>
      <c r="J24" s="321"/>
      <c r="K24" s="321"/>
      <c r="L24" s="311"/>
      <c r="M24" s="321"/>
      <c r="N24" s="321"/>
      <c r="O24" s="321"/>
      <c r="P24" s="311"/>
      <c r="Q24" s="311"/>
    </row>
    <row r="25" spans="1:17">
      <c r="A25" s="325">
        <v>2023</v>
      </c>
      <c r="B25" s="324" t="s">
        <v>15</v>
      </c>
      <c r="C25" s="323">
        <v>0.03</v>
      </c>
      <c r="D25" s="322">
        <v>7.2999999999999995E-2</v>
      </c>
      <c r="E25" s="318" t="s">
        <v>367</v>
      </c>
      <c r="F25" s="318" t="s">
        <v>367</v>
      </c>
      <c r="G25" s="318" t="s">
        <v>366</v>
      </c>
      <c r="J25" s="321"/>
      <c r="K25" s="321"/>
      <c r="L25" s="311"/>
      <c r="M25" s="321"/>
      <c r="N25" s="321"/>
      <c r="O25" s="321"/>
      <c r="P25" s="311"/>
      <c r="Q25" s="311"/>
    </row>
    <row r="26" spans="1:17">
      <c r="A26" s="325">
        <v>2023</v>
      </c>
      <c r="B26" s="324" t="s">
        <v>13</v>
      </c>
      <c r="C26" s="323">
        <v>0.14000000000000001</v>
      </c>
      <c r="D26" s="322">
        <v>7.0000000000000007E-2</v>
      </c>
      <c r="E26" s="318" t="s">
        <v>367</v>
      </c>
      <c r="F26" s="318" t="s">
        <v>367</v>
      </c>
      <c r="G26" s="318" t="s">
        <v>366</v>
      </c>
      <c r="J26" s="321"/>
      <c r="K26" s="321"/>
      <c r="L26" s="311"/>
      <c r="M26" s="321"/>
      <c r="N26" s="321"/>
      <c r="O26" s="321"/>
      <c r="P26" s="311"/>
      <c r="Q26" s="311"/>
    </row>
    <row r="27" spans="1:17">
      <c r="A27" s="325">
        <v>2024</v>
      </c>
      <c r="B27" s="324" t="s">
        <v>9</v>
      </c>
      <c r="C27" s="323">
        <v>0.49</v>
      </c>
      <c r="D27" s="322">
        <v>0.14099999999999999</v>
      </c>
      <c r="E27" s="318" t="s">
        <v>367</v>
      </c>
      <c r="F27" s="318" t="s">
        <v>369</v>
      </c>
      <c r="G27" s="318" t="s">
        <v>368</v>
      </c>
      <c r="J27" s="321"/>
      <c r="K27" s="321"/>
      <c r="L27" s="311"/>
      <c r="M27" s="321"/>
      <c r="N27" s="321"/>
      <c r="O27" s="321"/>
      <c r="P27" s="311"/>
      <c r="Q27" s="311"/>
    </row>
    <row r="28" spans="1:17">
      <c r="A28" s="325">
        <v>2024</v>
      </c>
      <c r="B28" s="324" t="s">
        <v>11</v>
      </c>
      <c r="C28" s="323">
        <v>0.86</v>
      </c>
      <c r="D28" s="322">
        <v>0.152</v>
      </c>
      <c r="E28" s="318" t="s">
        <v>369</v>
      </c>
      <c r="F28" s="318" t="s">
        <v>369</v>
      </c>
      <c r="G28" s="318" t="s">
        <v>371</v>
      </c>
      <c r="J28" s="321"/>
      <c r="K28" s="321"/>
      <c r="L28" s="311"/>
      <c r="M28" s="321"/>
      <c r="N28" s="321"/>
      <c r="O28" s="321"/>
      <c r="P28" s="311"/>
      <c r="Q28" s="311"/>
    </row>
    <row r="29" spans="1:17">
      <c r="A29" s="325">
        <v>2024</v>
      </c>
      <c r="B29" s="324" t="s">
        <v>18</v>
      </c>
      <c r="C29" s="323">
        <v>0.08</v>
      </c>
      <c r="D29" s="322">
        <v>-2E-3</v>
      </c>
      <c r="E29" s="318" t="s">
        <v>367</v>
      </c>
      <c r="F29" s="318" t="s">
        <v>367</v>
      </c>
      <c r="G29" s="318" t="s">
        <v>366</v>
      </c>
      <c r="J29" s="321"/>
      <c r="K29" s="321"/>
      <c r="L29" s="311"/>
      <c r="M29" s="321"/>
      <c r="N29" s="321"/>
      <c r="O29" s="321"/>
      <c r="P29" s="311"/>
      <c r="Q29" s="311"/>
    </row>
    <row r="30" spans="1:17">
      <c r="A30" s="325">
        <v>2024</v>
      </c>
      <c r="B30" s="324" t="s">
        <v>15</v>
      </c>
      <c r="C30" s="323">
        <v>0.09</v>
      </c>
      <c r="D30" s="322">
        <v>-0.13500000000000001</v>
      </c>
      <c r="E30" s="318" t="s">
        <v>367</v>
      </c>
      <c r="F30" s="318" t="s">
        <v>367</v>
      </c>
      <c r="G30" s="318" t="s">
        <v>366</v>
      </c>
      <c r="J30" s="321"/>
      <c r="K30" s="321"/>
      <c r="L30" s="311"/>
      <c r="M30" s="321"/>
      <c r="N30" s="321"/>
      <c r="O30" s="321"/>
      <c r="P30" s="311"/>
      <c r="Q30" s="311"/>
    </row>
    <row r="31" spans="1:17">
      <c r="A31" s="325">
        <v>2024</v>
      </c>
      <c r="B31" s="324" t="s">
        <v>13</v>
      </c>
      <c r="C31" s="323">
        <v>0.31</v>
      </c>
      <c r="D31" s="322">
        <v>6.6000000000000003E-2</v>
      </c>
      <c r="E31" s="318" t="s">
        <v>367</v>
      </c>
      <c r="F31" s="318" t="s">
        <v>367</v>
      </c>
      <c r="G31" s="318" t="s">
        <v>366</v>
      </c>
      <c r="J31" s="321"/>
      <c r="K31" s="321"/>
      <c r="L31" s="311"/>
      <c r="M31" s="321"/>
      <c r="N31" s="321"/>
      <c r="O31" s="321"/>
      <c r="P31" s="311"/>
      <c r="Q31" s="311"/>
    </row>
    <row r="32" spans="1:17">
      <c r="A32" s="325">
        <v>2025</v>
      </c>
      <c r="B32" s="324" t="s">
        <v>9</v>
      </c>
      <c r="C32" s="323">
        <v>0.27</v>
      </c>
      <c r="D32" s="322">
        <v>2.4E-2</v>
      </c>
      <c r="E32" s="318" t="s">
        <v>367</v>
      </c>
      <c r="F32" s="318" t="s">
        <v>367</v>
      </c>
      <c r="G32" s="318" t="s">
        <v>366</v>
      </c>
      <c r="J32" s="321"/>
      <c r="K32" s="321"/>
      <c r="L32" s="311"/>
      <c r="M32" s="321"/>
      <c r="N32" s="321"/>
      <c r="O32" s="321"/>
      <c r="P32" s="311"/>
      <c r="Q32" s="311"/>
    </row>
    <row r="33" spans="1:17">
      <c r="A33" s="325">
        <v>2025</v>
      </c>
      <c r="B33" s="324" t="s">
        <v>11</v>
      </c>
      <c r="C33" s="323">
        <v>0.79</v>
      </c>
      <c r="D33" s="322">
        <v>7.0000000000000007E-2</v>
      </c>
      <c r="E33" s="318" t="s">
        <v>369</v>
      </c>
      <c r="F33" s="318" t="s">
        <v>367</v>
      </c>
      <c r="G33" s="318" t="s">
        <v>370</v>
      </c>
      <c r="J33" s="321"/>
      <c r="K33" s="321"/>
      <c r="L33" s="311"/>
      <c r="M33" s="321"/>
      <c r="N33" s="321"/>
      <c r="O33" s="321"/>
      <c r="P33" s="311"/>
      <c r="Q33" s="311"/>
    </row>
    <row r="34" spans="1:17">
      <c r="A34" s="325">
        <v>2025</v>
      </c>
      <c r="B34" s="324" t="s">
        <v>18</v>
      </c>
      <c r="C34" s="323">
        <v>0.13</v>
      </c>
      <c r="D34" s="322">
        <v>8.9999999999999993E-3</v>
      </c>
      <c r="E34" s="318" t="s">
        <v>367</v>
      </c>
      <c r="F34" s="318" t="s">
        <v>367</v>
      </c>
      <c r="G34" s="318" t="s">
        <v>366</v>
      </c>
      <c r="J34" s="321"/>
      <c r="K34" s="321"/>
      <c r="L34" s="311"/>
      <c r="M34" s="321"/>
      <c r="N34" s="321"/>
      <c r="O34" s="321"/>
      <c r="P34" s="311"/>
      <c r="Q34" s="311"/>
    </row>
    <row r="35" spans="1:17">
      <c r="A35" s="325">
        <v>2025</v>
      </c>
      <c r="B35" s="324" t="s">
        <v>15</v>
      </c>
      <c r="C35" s="323">
        <v>0.06</v>
      </c>
      <c r="D35" s="322">
        <v>0.188</v>
      </c>
      <c r="E35" s="318" t="s">
        <v>367</v>
      </c>
      <c r="F35" s="318" t="s">
        <v>369</v>
      </c>
      <c r="G35" s="318" t="s">
        <v>368</v>
      </c>
      <c r="J35" s="321"/>
      <c r="K35" s="321"/>
      <c r="L35" s="311"/>
      <c r="M35" s="321"/>
      <c r="N35" s="321"/>
      <c r="O35" s="321"/>
      <c r="P35" s="311"/>
      <c r="Q35" s="311"/>
    </row>
    <row r="36" spans="1:17">
      <c r="A36" s="325">
        <v>2025</v>
      </c>
      <c r="B36" s="324" t="s">
        <v>13</v>
      </c>
      <c r="C36" s="323">
        <v>0.28999999999999998</v>
      </c>
      <c r="D36" s="322">
        <v>8.5999999999999993E-2</v>
      </c>
      <c r="E36" s="318" t="s">
        <v>367</v>
      </c>
      <c r="F36" s="318" t="s">
        <v>367</v>
      </c>
      <c r="G36" s="318" t="s">
        <v>366</v>
      </c>
      <c r="J36" s="321"/>
      <c r="K36" s="321"/>
      <c r="L36" s="311"/>
      <c r="M36" s="321"/>
      <c r="N36" s="321"/>
      <c r="O36" s="321"/>
      <c r="P36" s="311"/>
      <c r="Q36" s="311"/>
    </row>
  </sheetData>
  <autoFilter ref="A1:G36" xr:uid="{00000000-0009-0000-0000-000002000000}"/>
  <conditionalFormatting sqref="D2:D36">
    <cfRule type="cellIs" dxfId="2" priority="2" operator="greaterThan">
      <formula>0.1</formula>
    </cfRule>
  </conditionalFormatting>
  <conditionalFormatting sqref="F1:F36">
    <cfRule type="containsText" dxfId="1" priority="1" operator="containsText" text="Alto">
      <formula>NOT(ISERROR(SEARCH("Alto",F1)))</formula>
    </cfRule>
  </conditionalFormatting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0364-FBF2-4349-A899-2B4F84C5E55E}">
  <dimension ref="A1:C7"/>
  <sheetViews>
    <sheetView showGridLines="0" workbookViewId="0">
      <pane ySplit="1" topLeftCell="A2" activePane="bottomLeft" state="frozen"/>
      <selection pane="bottomLeft" activeCell="A21" sqref="A21"/>
    </sheetView>
  </sheetViews>
  <sheetFormatPr baseColWidth="10" defaultColWidth="8.7265625" defaultRowHeight="14.5"/>
  <cols>
    <col min="1" max="1" width="24" style="216" customWidth="1"/>
    <col min="2" max="2" width="58" style="216" customWidth="1"/>
    <col min="3" max="3" width="78" style="216" customWidth="1"/>
    <col min="4" max="16384" width="8.7265625" style="216"/>
  </cols>
  <sheetData>
    <row r="1" spans="1:3">
      <c r="A1" s="310" t="s">
        <v>391</v>
      </c>
      <c r="B1" s="310" t="s">
        <v>205</v>
      </c>
      <c r="C1" s="310" t="s">
        <v>276</v>
      </c>
    </row>
    <row r="2" spans="1:3">
      <c r="A2" s="329" t="s">
        <v>390</v>
      </c>
      <c r="B2" s="331">
        <v>0.5</v>
      </c>
      <c r="C2" s="329" t="s">
        <v>389</v>
      </c>
    </row>
    <row r="3" spans="1:3">
      <c r="A3" s="329" t="s">
        <v>388</v>
      </c>
      <c r="B3" s="330">
        <v>0.1</v>
      </c>
      <c r="C3" s="329" t="s">
        <v>387</v>
      </c>
    </row>
    <row r="4" spans="1:3">
      <c r="A4" s="329" t="s">
        <v>386</v>
      </c>
      <c r="B4" s="329">
        <v>2019</v>
      </c>
      <c r="C4" s="329" t="s">
        <v>385</v>
      </c>
    </row>
    <row r="5" spans="1:3">
      <c r="A5" s="329" t="s">
        <v>384</v>
      </c>
      <c r="B5" s="329">
        <v>2019</v>
      </c>
      <c r="C5" s="329" t="s">
        <v>383</v>
      </c>
    </row>
    <row r="6" spans="1:3">
      <c r="A6" s="329" t="s">
        <v>382</v>
      </c>
      <c r="B6" s="329" t="s">
        <v>381</v>
      </c>
      <c r="C6" s="329" t="s">
        <v>380</v>
      </c>
    </row>
    <row r="7" spans="1:3">
      <c r="A7" s="329" t="s">
        <v>379</v>
      </c>
      <c r="B7" s="329" t="s">
        <v>378</v>
      </c>
      <c r="C7" s="329" t="s">
        <v>377</v>
      </c>
    </row>
  </sheetData>
  <autoFilter ref="A1:C7" xr:uid="{00000000-0009-0000-0000-000003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7C68-E319-46EC-BE44-3A12746BA650}">
  <dimension ref="A1:I15"/>
  <sheetViews>
    <sheetView showGridLines="0" workbookViewId="0">
      <pane ySplit="1" topLeftCell="A2" activePane="bottomLeft" state="frozen"/>
      <selection pane="bottomLeft" activeCell="A2" sqref="A2:I6"/>
    </sheetView>
  </sheetViews>
  <sheetFormatPr baseColWidth="10" defaultColWidth="8.7265625" defaultRowHeight="14.5"/>
  <cols>
    <col min="1" max="1" width="15" style="216" customWidth="1"/>
    <col min="2" max="9" width="12" style="216" customWidth="1"/>
    <col min="10" max="16384" width="8.7265625" style="216"/>
  </cols>
  <sheetData>
    <row r="1" spans="1:9">
      <c r="A1" s="319" t="s">
        <v>365</v>
      </c>
      <c r="B1" s="319">
        <v>2018</v>
      </c>
      <c r="C1" s="319">
        <v>2019</v>
      </c>
      <c r="D1" s="319">
        <v>2020</v>
      </c>
      <c r="E1" s="319">
        <v>2021</v>
      </c>
      <c r="F1" s="319">
        <v>2022</v>
      </c>
      <c r="G1" s="319">
        <v>2023</v>
      </c>
      <c r="H1" s="319">
        <v>2024</v>
      </c>
      <c r="I1" s="319">
        <v>2025</v>
      </c>
    </row>
    <row r="2" spans="1:9">
      <c r="A2" s="318" t="s">
        <v>9</v>
      </c>
      <c r="B2" s="317"/>
      <c r="C2" s="316">
        <v>-8.4000000000000005E-2</v>
      </c>
      <c r="D2" s="316">
        <v>-0.314</v>
      </c>
      <c r="E2" s="316">
        <v>0.107</v>
      </c>
      <c r="F2" s="316">
        <v>-5.0000000000000001E-3</v>
      </c>
      <c r="G2" s="316">
        <v>0.189</v>
      </c>
      <c r="H2" s="316">
        <v>0.14099999999999999</v>
      </c>
      <c r="I2" s="316">
        <v>2.4E-2</v>
      </c>
    </row>
    <row r="3" spans="1:9">
      <c r="A3" s="318" t="s">
        <v>11</v>
      </c>
      <c r="B3" s="317"/>
      <c r="C3" s="316">
        <v>-7.1999999999999995E-2</v>
      </c>
      <c r="D3" s="316">
        <v>-0.29399999999999998</v>
      </c>
      <c r="E3" s="316">
        <v>0.224</v>
      </c>
      <c r="F3" s="316">
        <v>-7.4999999999999997E-2</v>
      </c>
      <c r="G3" s="316">
        <v>1.7999999999999999E-2</v>
      </c>
      <c r="H3" s="316">
        <v>0.152</v>
      </c>
      <c r="I3" s="316">
        <v>7.0000000000000007E-2</v>
      </c>
    </row>
    <row r="4" spans="1:9">
      <c r="A4" s="318" t="s">
        <v>18</v>
      </c>
      <c r="B4" s="317"/>
      <c r="C4" s="316">
        <v>8.0000000000000002E-3</v>
      </c>
      <c r="D4" s="316">
        <v>-0.127</v>
      </c>
      <c r="E4" s="316">
        <v>7.6999999999999999E-2</v>
      </c>
      <c r="F4" s="316">
        <v>4.2999999999999997E-2</v>
      </c>
      <c r="G4" s="316">
        <v>0.128</v>
      </c>
      <c r="H4" s="316">
        <v>-2E-3</v>
      </c>
      <c r="I4" s="316">
        <v>8.9999999999999993E-3</v>
      </c>
    </row>
    <row r="5" spans="1:9">
      <c r="A5" s="318" t="s">
        <v>15</v>
      </c>
      <c r="B5" s="317"/>
      <c r="C5" s="316">
        <v>-4.7E-2</v>
      </c>
      <c r="D5" s="316">
        <v>-0.05</v>
      </c>
      <c r="E5" s="316">
        <v>0.14899999999999999</v>
      </c>
      <c r="F5" s="316">
        <v>-0.107</v>
      </c>
      <c r="G5" s="316">
        <v>7.2999999999999995E-2</v>
      </c>
      <c r="H5" s="316">
        <v>-0.13500000000000001</v>
      </c>
      <c r="I5" s="316">
        <v>0.188</v>
      </c>
    </row>
    <row r="6" spans="1:9">
      <c r="A6" s="318" t="s">
        <v>13</v>
      </c>
      <c r="B6" s="317"/>
      <c r="C6" s="316">
        <v>6.6000000000000003E-2</v>
      </c>
      <c r="D6" s="316">
        <v>-0.216</v>
      </c>
      <c r="E6" s="316">
        <v>9.5000000000000001E-2</v>
      </c>
      <c r="F6" s="316">
        <v>-3.4000000000000002E-2</v>
      </c>
      <c r="G6" s="316">
        <v>7.0000000000000007E-2</v>
      </c>
      <c r="H6" s="316">
        <v>6.6000000000000003E-2</v>
      </c>
      <c r="I6" s="316">
        <v>8.5999999999999993E-2</v>
      </c>
    </row>
    <row r="10" spans="1:9">
      <c r="A10" s="315"/>
      <c r="B10" s="314"/>
      <c r="C10" s="314"/>
      <c r="D10" s="314"/>
      <c r="E10" s="314"/>
      <c r="F10" s="314"/>
      <c r="G10" s="314"/>
      <c r="H10" s="314"/>
      <c r="I10" s="314"/>
    </row>
    <row r="11" spans="1:9">
      <c r="A11" s="313"/>
      <c r="B11" s="312"/>
      <c r="C11" s="311"/>
      <c r="D11" s="311"/>
      <c r="E11" s="311"/>
      <c r="F11" s="311"/>
      <c r="G11" s="311"/>
      <c r="H11" s="311"/>
      <c r="I11" s="311"/>
    </row>
    <row r="12" spans="1:9">
      <c r="A12" s="313"/>
      <c r="B12" s="312"/>
      <c r="C12" s="311"/>
      <c r="D12" s="311"/>
      <c r="E12" s="311"/>
      <c r="F12" s="311"/>
      <c r="G12" s="311"/>
      <c r="H12" s="311"/>
      <c r="I12" s="311"/>
    </row>
    <row r="13" spans="1:9">
      <c r="A13" s="313"/>
      <c r="B13" s="312"/>
      <c r="C13" s="311"/>
      <c r="D13" s="311"/>
      <c r="E13" s="311"/>
      <c r="F13" s="311"/>
      <c r="G13" s="311"/>
      <c r="H13" s="311"/>
      <c r="I13" s="311"/>
    </row>
    <row r="14" spans="1:9">
      <c r="A14" s="313"/>
      <c r="B14" s="312"/>
      <c r="C14" s="311"/>
      <c r="D14" s="311"/>
      <c r="E14" s="311"/>
      <c r="F14" s="311"/>
      <c r="G14" s="311"/>
      <c r="H14" s="311"/>
      <c r="I14" s="311"/>
    </row>
    <row r="15" spans="1:9">
      <c r="A15" s="313"/>
      <c r="B15" s="312"/>
      <c r="C15" s="311"/>
      <c r="D15" s="311"/>
      <c r="E15" s="311"/>
      <c r="F15" s="311"/>
      <c r="G15" s="311"/>
      <c r="H15" s="311"/>
      <c r="I15" s="311"/>
    </row>
  </sheetData>
  <autoFilter ref="A1:I6" xr:uid="{00000000-0009-0000-0000-000001000000}"/>
  <conditionalFormatting sqref="C2:I6">
    <cfRule type="cellIs" dxfId="0" priority="1" operator="greaterThan">
      <formula>0.1</formula>
    </cfRule>
  </conditionalFormatting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FD38-FF46-4748-927A-C4331C233C2F}">
  <dimension ref="A1:J6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/>
  <cols>
    <col min="1" max="1" width="8" style="216" customWidth="1"/>
    <col min="2" max="2" width="16" style="216" customWidth="1"/>
    <col min="3" max="3" width="18" style="216" customWidth="1"/>
    <col min="4" max="4" width="22" style="216" customWidth="1"/>
    <col min="5" max="5" width="28" style="216" customWidth="1"/>
    <col min="6" max="6" width="42" style="216" customWidth="1"/>
    <col min="7" max="7" width="14" style="216" customWidth="1"/>
    <col min="8" max="8" width="15" style="216" customWidth="1"/>
    <col min="9" max="9" width="38" style="216" customWidth="1"/>
    <col min="10" max="10" width="65" style="216" customWidth="1"/>
    <col min="11" max="16384" width="8.7265625" style="216"/>
  </cols>
  <sheetData>
    <row r="1" spans="1:10">
      <c r="A1" s="332" t="s">
        <v>364</v>
      </c>
      <c r="B1" s="332" t="s">
        <v>576</v>
      </c>
      <c r="C1" s="332" t="s">
        <v>575</v>
      </c>
      <c r="D1" s="332" t="s">
        <v>574</v>
      </c>
      <c r="E1" s="332" t="s">
        <v>573</v>
      </c>
      <c r="F1" s="332" t="s">
        <v>205</v>
      </c>
      <c r="G1" s="332" t="s">
        <v>361</v>
      </c>
      <c r="H1" s="332" t="s">
        <v>572</v>
      </c>
      <c r="I1" s="332" t="s">
        <v>571</v>
      </c>
      <c r="J1" s="332" t="s">
        <v>570</v>
      </c>
    </row>
    <row r="2" spans="1:10">
      <c r="A2" s="216">
        <v>2015</v>
      </c>
      <c r="B2" s="216" t="s">
        <v>423</v>
      </c>
      <c r="C2" s="216" t="s">
        <v>466</v>
      </c>
      <c r="D2" s="216" t="s">
        <v>508</v>
      </c>
      <c r="E2" s="216" t="s">
        <v>569</v>
      </c>
      <c r="F2" s="216">
        <v>5</v>
      </c>
      <c r="G2" s="216" t="s">
        <v>506</v>
      </c>
      <c r="H2" s="216" t="s">
        <v>558</v>
      </c>
      <c r="I2" s="216" t="s">
        <v>393</v>
      </c>
      <c r="J2" s="216" t="s">
        <v>568</v>
      </c>
    </row>
    <row r="3" spans="1:10">
      <c r="A3" s="216">
        <v>2015</v>
      </c>
      <c r="B3" s="216" t="s">
        <v>416</v>
      </c>
      <c r="C3" s="216" t="s">
        <v>415</v>
      </c>
      <c r="D3" s="216" t="s">
        <v>12</v>
      </c>
      <c r="E3" s="216" t="s">
        <v>567</v>
      </c>
      <c r="F3" s="216">
        <v>1</v>
      </c>
      <c r="G3" s="216" t="s">
        <v>476</v>
      </c>
      <c r="H3" s="216" t="s">
        <v>566</v>
      </c>
      <c r="I3" s="216" t="s">
        <v>565</v>
      </c>
      <c r="J3" s="216" t="s">
        <v>564</v>
      </c>
    </row>
    <row r="4" spans="1:10">
      <c r="A4" s="216">
        <v>2015</v>
      </c>
      <c r="B4" s="216" t="s">
        <v>408</v>
      </c>
      <c r="C4" s="216" t="s">
        <v>429</v>
      </c>
      <c r="D4" s="216" t="s">
        <v>450</v>
      </c>
      <c r="E4" s="216" t="s">
        <v>449</v>
      </c>
      <c r="F4" s="216">
        <v>5.12</v>
      </c>
      <c r="G4" s="216" t="s">
        <v>448</v>
      </c>
      <c r="H4" s="216" t="s">
        <v>563</v>
      </c>
      <c r="I4" s="216" t="s">
        <v>393</v>
      </c>
      <c r="J4" s="216" t="s">
        <v>562</v>
      </c>
    </row>
    <row r="5" spans="1:10">
      <c r="A5" s="216">
        <v>2015</v>
      </c>
      <c r="B5" s="216" t="s">
        <v>408</v>
      </c>
      <c r="C5" s="216" t="s">
        <v>429</v>
      </c>
      <c r="D5" s="216" t="s">
        <v>428</v>
      </c>
      <c r="E5" s="216" t="s">
        <v>427</v>
      </c>
      <c r="F5" s="216">
        <v>-375.5</v>
      </c>
      <c r="G5" s="216" t="s">
        <v>331</v>
      </c>
      <c r="H5" s="216" t="s">
        <v>561</v>
      </c>
      <c r="I5" s="216" t="s">
        <v>547</v>
      </c>
      <c r="J5" s="216" t="s">
        <v>560</v>
      </c>
    </row>
    <row r="6" spans="1:10">
      <c r="A6" s="216">
        <v>2015</v>
      </c>
      <c r="B6" s="216" t="s">
        <v>399</v>
      </c>
      <c r="C6" s="216" t="s">
        <v>466</v>
      </c>
      <c r="D6" s="216" t="s">
        <v>535</v>
      </c>
      <c r="E6" s="216" t="s">
        <v>559</v>
      </c>
      <c r="F6" s="216">
        <v>1</v>
      </c>
      <c r="G6" s="216" t="s">
        <v>470</v>
      </c>
      <c r="H6" s="216" t="s">
        <v>558</v>
      </c>
      <c r="I6" s="216" t="s">
        <v>393</v>
      </c>
      <c r="J6" s="216" t="s">
        <v>557</v>
      </c>
    </row>
    <row r="7" spans="1:10">
      <c r="A7" s="216">
        <v>2016</v>
      </c>
      <c r="B7" s="216" t="s">
        <v>423</v>
      </c>
      <c r="C7" s="216" t="s">
        <v>429</v>
      </c>
      <c r="D7" s="216" t="s">
        <v>450</v>
      </c>
      <c r="E7" s="216" t="s">
        <v>449</v>
      </c>
      <c r="F7" s="216">
        <v>1.74</v>
      </c>
      <c r="G7" s="216" t="s">
        <v>448</v>
      </c>
      <c r="H7" s="216" t="s">
        <v>551</v>
      </c>
      <c r="I7" s="216" t="s">
        <v>393</v>
      </c>
      <c r="J7" s="216" t="s">
        <v>556</v>
      </c>
    </row>
    <row r="8" spans="1:10">
      <c r="A8" s="216">
        <v>2016</v>
      </c>
      <c r="B8" s="216" t="s">
        <v>423</v>
      </c>
      <c r="C8" s="216" t="s">
        <v>422</v>
      </c>
      <c r="D8" s="216" t="s">
        <v>12</v>
      </c>
      <c r="E8" s="216" t="s">
        <v>555</v>
      </c>
      <c r="F8" s="216">
        <v>1</v>
      </c>
      <c r="G8" s="216" t="s">
        <v>476</v>
      </c>
      <c r="H8" s="216" t="s">
        <v>551</v>
      </c>
      <c r="I8" s="216" t="s">
        <v>393</v>
      </c>
      <c r="J8" s="216" t="s">
        <v>554</v>
      </c>
    </row>
    <row r="9" spans="1:10">
      <c r="A9" s="216">
        <v>2016</v>
      </c>
      <c r="B9" s="216" t="s">
        <v>416</v>
      </c>
      <c r="C9" s="216" t="s">
        <v>415</v>
      </c>
      <c r="D9" s="216" t="s">
        <v>12</v>
      </c>
      <c r="E9" s="216" t="s">
        <v>553</v>
      </c>
      <c r="F9" s="216">
        <v>362</v>
      </c>
      <c r="G9" s="216" t="s">
        <v>331</v>
      </c>
      <c r="H9" s="216" t="s">
        <v>551</v>
      </c>
      <c r="I9" s="216" t="s">
        <v>393</v>
      </c>
      <c r="J9" s="216" t="s">
        <v>552</v>
      </c>
    </row>
    <row r="10" spans="1:10">
      <c r="A10" s="216">
        <v>2016</v>
      </c>
      <c r="B10" s="216" t="s">
        <v>408</v>
      </c>
      <c r="C10" s="216" t="s">
        <v>429</v>
      </c>
      <c r="D10" s="216" t="s">
        <v>428</v>
      </c>
      <c r="E10" s="216" t="s">
        <v>427</v>
      </c>
      <c r="F10" s="216">
        <v>-327.8</v>
      </c>
      <c r="G10" s="216" t="s">
        <v>331</v>
      </c>
      <c r="H10" s="216" t="s">
        <v>551</v>
      </c>
      <c r="I10" s="216" t="s">
        <v>393</v>
      </c>
      <c r="J10" s="216" t="s">
        <v>550</v>
      </c>
    </row>
    <row r="11" spans="1:10">
      <c r="A11" s="216">
        <v>2016</v>
      </c>
      <c r="B11" s="216" t="s">
        <v>399</v>
      </c>
      <c r="C11" s="216" t="s">
        <v>466</v>
      </c>
      <c r="D11" s="216" t="s">
        <v>535</v>
      </c>
      <c r="E11" s="216" t="s">
        <v>549</v>
      </c>
      <c r="F11" s="216">
        <v>1</v>
      </c>
      <c r="G11" s="216" t="s">
        <v>395</v>
      </c>
      <c r="H11" s="216" t="s">
        <v>548</v>
      </c>
      <c r="I11" s="216" t="s">
        <v>547</v>
      </c>
      <c r="J11" s="216" t="s">
        <v>546</v>
      </c>
    </row>
    <row r="12" spans="1:10">
      <c r="A12" s="216">
        <v>2017</v>
      </c>
      <c r="B12" s="216" t="s">
        <v>423</v>
      </c>
      <c r="C12" s="216" t="s">
        <v>429</v>
      </c>
      <c r="D12" s="216" t="s">
        <v>450</v>
      </c>
      <c r="E12" s="216" t="s">
        <v>449</v>
      </c>
      <c r="F12" s="216">
        <v>1.38</v>
      </c>
      <c r="G12" s="216" t="s">
        <v>448</v>
      </c>
      <c r="H12" s="216" t="s">
        <v>537</v>
      </c>
      <c r="I12" s="216" t="s">
        <v>393</v>
      </c>
      <c r="J12" s="216" t="s">
        <v>545</v>
      </c>
    </row>
    <row r="13" spans="1:10">
      <c r="A13" s="216">
        <v>2017</v>
      </c>
      <c r="B13" s="216" t="s">
        <v>423</v>
      </c>
      <c r="C13" s="216" t="s">
        <v>429</v>
      </c>
      <c r="D13" s="216" t="s">
        <v>428</v>
      </c>
      <c r="E13" s="216" t="s">
        <v>427</v>
      </c>
      <c r="F13" s="216">
        <v>64.400000000000006</v>
      </c>
      <c r="G13" s="216" t="s">
        <v>331</v>
      </c>
      <c r="H13" s="216" t="s">
        <v>537</v>
      </c>
      <c r="I13" s="216" t="s">
        <v>393</v>
      </c>
      <c r="J13" s="216" t="s">
        <v>544</v>
      </c>
    </row>
    <row r="14" spans="1:10">
      <c r="A14" s="216">
        <v>2017</v>
      </c>
      <c r="B14" s="216" t="s">
        <v>423</v>
      </c>
      <c r="C14" s="216" t="s">
        <v>466</v>
      </c>
      <c r="D14" s="216" t="s">
        <v>508</v>
      </c>
      <c r="E14" s="216" t="s">
        <v>507</v>
      </c>
      <c r="F14" s="216">
        <v>5</v>
      </c>
      <c r="G14" s="216" t="s">
        <v>506</v>
      </c>
      <c r="H14" s="216" t="s">
        <v>537</v>
      </c>
      <c r="I14" s="216" t="s">
        <v>393</v>
      </c>
      <c r="J14" s="216" t="s">
        <v>543</v>
      </c>
    </row>
    <row r="15" spans="1:10">
      <c r="A15" s="216">
        <v>2017</v>
      </c>
      <c r="B15" s="216" t="s">
        <v>416</v>
      </c>
      <c r="C15" s="216" t="s">
        <v>415</v>
      </c>
      <c r="D15" s="216" t="s">
        <v>414</v>
      </c>
      <c r="E15" s="216" t="s">
        <v>542</v>
      </c>
      <c r="F15" s="216">
        <v>1</v>
      </c>
      <c r="G15" s="216" t="s">
        <v>476</v>
      </c>
      <c r="H15" s="216" t="s">
        <v>541</v>
      </c>
      <c r="I15" s="216" t="s">
        <v>540</v>
      </c>
      <c r="J15" s="216" t="s">
        <v>539</v>
      </c>
    </row>
    <row r="16" spans="1:10">
      <c r="A16" s="216">
        <v>2017</v>
      </c>
      <c r="B16" s="216" t="s">
        <v>408</v>
      </c>
      <c r="C16" s="216" t="s">
        <v>422</v>
      </c>
      <c r="D16" s="216" t="s">
        <v>12</v>
      </c>
      <c r="E16" s="216" t="s">
        <v>538</v>
      </c>
      <c r="F16" s="216">
        <v>1</v>
      </c>
      <c r="G16" s="216" t="s">
        <v>470</v>
      </c>
      <c r="H16" s="216" t="s">
        <v>537</v>
      </c>
      <c r="I16" s="216" t="s">
        <v>393</v>
      </c>
      <c r="J16" s="216" t="s">
        <v>536</v>
      </c>
    </row>
    <row r="17" spans="1:10">
      <c r="A17" s="216">
        <v>2017</v>
      </c>
      <c r="B17" s="216" t="s">
        <v>399</v>
      </c>
      <c r="C17" s="216" t="s">
        <v>466</v>
      </c>
      <c r="D17" s="216" t="s">
        <v>535</v>
      </c>
      <c r="E17" s="216" t="s">
        <v>534</v>
      </c>
      <c r="F17" s="216">
        <v>1</v>
      </c>
      <c r="G17" s="216" t="s">
        <v>395</v>
      </c>
      <c r="H17" s="216" t="s">
        <v>533</v>
      </c>
      <c r="I17" s="216" t="s">
        <v>393</v>
      </c>
      <c r="J17" s="216" t="s">
        <v>532</v>
      </c>
    </row>
    <row r="18" spans="1:10">
      <c r="A18" s="216">
        <v>2018</v>
      </c>
      <c r="B18" s="216" t="s">
        <v>423</v>
      </c>
      <c r="C18" s="216" t="s">
        <v>429</v>
      </c>
      <c r="D18" s="216" t="s">
        <v>450</v>
      </c>
      <c r="E18" s="216" t="s">
        <v>449</v>
      </c>
      <c r="F18" s="216">
        <v>0.99</v>
      </c>
      <c r="G18" s="216" t="s">
        <v>448</v>
      </c>
      <c r="H18" s="216" t="s">
        <v>523</v>
      </c>
      <c r="I18" s="216" t="s">
        <v>393</v>
      </c>
      <c r="J18" s="216" t="s">
        <v>531</v>
      </c>
    </row>
    <row r="19" spans="1:10">
      <c r="A19" s="216">
        <v>2018</v>
      </c>
      <c r="B19" s="216" t="s">
        <v>423</v>
      </c>
      <c r="C19" s="216" t="s">
        <v>429</v>
      </c>
      <c r="D19" s="216" t="s">
        <v>432</v>
      </c>
      <c r="E19" s="216" t="s">
        <v>431</v>
      </c>
      <c r="F19" s="216">
        <v>369.2</v>
      </c>
      <c r="G19" s="216" t="s">
        <v>331</v>
      </c>
      <c r="H19" s="216" t="s">
        <v>523</v>
      </c>
      <c r="I19" s="216" t="s">
        <v>393</v>
      </c>
      <c r="J19" s="216" t="s">
        <v>530</v>
      </c>
    </row>
    <row r="20" spans="1:10">
      <c r="A20" s="216">
        <v>2018</v>
      </c>
      <c r="B20" s="216" t="s">
        <v>416</v>
      </c>
      <c r="C20" s="216" t="s">
        <v>481</v>
      </c>
      <c r="D20" s="216" t="s">
        <v>520</v>
      </c>
      <c r="E20" s="216" t="s">
        <v>519</v>
      </c>
      <c r="F20" s="216">
        <v>18.05</v>
      </c>
      <c r="G20" s="216" t="s">
        <v>331</v>
      </c>
      <c r="H20" s="216" t="s">
        <v>529</v>
      </c>
      <c r="I20" s="216" t="s">
        <v>511</v>
      </c>
      <c r="J20" s="216" t="s">
        <v>528</v>
      </c>
    </row>
    <row r="21" spans="1:10">
      <c r="A21" s="216">
        <v>2018</v>
      </c>
      <c r="B21" s="216" t="s">
        <v>408</v>
      </c>
      <c r="C21" s="216" t="s">
        <v>429</v>
      </c>
      <c r="D21" s="216" t="s">
        <v>428</v>
      </c>
      <c r="E21" s="216" t="s">
        <v>427</v>
      </c>
      <c r="F21" s="216">
        <v>-11.7</v>
      </c>
      <c r="G21" s="216" t="s">
        <v>331</v>
      </c>
      <c r="H21" s="216" t="s">
        <v>523</v>
      </c>
      <c r="I21" s="216" t="s">
        <v>393</v>
      </c>
      <c r="J21" s="216" t="s">
        <v>527</v>
      </c>
    </row>
    <row r="22" spans="1:10">
      <c r="A22" s="216">
        <v>2018</v>
      </c>
      <c r="B22" s="216" t="s">
        <v>399</v>
      </c>
      <c r="C22" s="216" t="s">
        <v>466</v>
      </c>
      <c r="D22" s="216" t="s">
        <v>526</v>
      </c>
      <c r="E22" s="216" t="s">
        <v>525</v>
      </c>
      <c r="F22" s="216">
        <v>5964</v>
      </c>
      <c r="G22" s="216" t="s">
        <v>524</v>
      </c>
      <c r="H22" s="216" t="s">
        <v>523</v>
      </c>
      <c r="I22" s="216" t="s">
        <v>393</v>
      </c>
      <c r="J22" s="216" t="s">
        <v>522</v>
      </c>
    </row>
    <row r="23" spans="1:10">
      <c r="A23" s="216">
        <v>2019</v>
      </c>
      <c r="B23" s="216" t="s">
        <v>423</v>
      </c>
      <c r="C23" s="216" t="s">
        <v>429</v>
      </c>
      <c r="D23" s="216" t="s">
        <v>432</v>
      </c>
      <c r="E23" s="216" t="s">
        <v>431</v>
      </c>
      <c r="F23" s="216">
        <v>210</v>
      </c>
      <c r="G23" s="216" t="s">
        <v>331</v>
      </c>
      <c r="H23" s="216" t="s">
        <v>516</v>
      </c>
      <c r="I23" s="216" t="s">
        <v>393</v>
      </c>
      <c r="J23" s="216" t="s">
        <v>521</v>
      </c>
    </row>
    <row r="24" spans="1:10">
      <c r="A24" s="216">
        <v>2019</v>
      </c>
      <c r="B24" s="216" t="s">
        <v>416</v>
      </c>
      <c r="C24" s="216" t="s">
        <v>481</v>
      </c>
      <c r="D24" s="216" t="s">
        <v>520</v>
      </c>
      <c r="E24" s="216" t="s">
        <v>519</v>
      </c>
      <c r="F24" s="216">
        <v>2.5299999999999998</v>
      </c>
      <c r="G24" s="216" t="s">
        <v>331</v>
      </c>
      <c r="H24" s="216" t="s">
        <v>512</v>
      </c>
      <c r="I24" s="216" t="s">
        <v>518</v>
      </c>
      <c r="J24" s="216" t="s">
        <v>517</v>
      </c>
    </row>
    <row r="25" spans="1:10">
      <c r="A25" s="216">
        <v>2019</v>
      </c>
      <c r="B25" s="216" t="s">
        <v>408</v>
      </c>
      <c r="C25" s="216" t="s">
        <v>429</v>
      </c>
      <c r="D25" s="216" t="s">
        <v>450</v>
      </c>
      <c r="E25" s="216" t="s">
        <v>449</v>
      </c>
      <c r="F25" s="216">
        <v>2.06</v>
      </c>
      <c r="G25" s="216" t="s">
        <v>448</v>
      </c>
      <c r="H25" s="216" t="s">
        <v>516</v>
      </c>
      <c r="I25" s="216" t="s">
        <v>393</v>
      </c>
      <c r="J25" s="216" t="s">
        <v>515</v>
      </c>
    </row>
    <row r="26" spans="1:10">
      <c r="A26" s="216">
        <v>2019</v>
      </c>
      <c r="B26" s="216" t="s">
        <v>408</v>
      </c>
      <c r="C26" s="216" t="s">
        <v>429</v>
      </c>
      <c r="D26" s="216" t="s">
        <v>428</v>
      </c>
      <c r="E26" s="216" t="s">
        <v>427</v>
      </c>
      <c r="F26" s="216">
        <v>-28.5</v>
      </c>
      <c r="G26" s="216" t="s">
        <v>331</v>
      </c>
      <c r="H26" s="216" t="s">
        <v>498</v>
      </c>
      <c r="I26" s="216" t="s">
        <v>393</v>
      </c>
      <c r="J26" s="216" t="s">
        <v>514</v>
      </c>
    </row>
    <row r="27" spans="1:10">
      <c r="A27" s="216">
        <v>2019</v>
      </c>
      <c r="B27" s="216" t="s">
        <v>399</v>
      </c>
      <c r="C27" s="216" t="s">
        <v>398</v>
      </c>
      <c r="D27" s="216" t="s">
        <v>402</v>
      </c>
      <c r="E27" s="216" t="s">
        <v>513</v>
      </c>
      <c r="F27" s="216">
        <v>1</v>
      </c>
      <c r="G27" s="216" t="s">
        <v>395</v>
      </c>
      <c r="H27" s="216" t="s">
        <v>512</v>
      </c>
      <c r="I27" s="216" t="s">
        <v>511</v>
      </c>
      <c r="J27" s="216" t="s">
        <v>510</v>
      </c>
    </row>
    <row r="28" spans="1:10">
      <c r="A28" s="216">
        <v>2020</v>
      </c>
      <c r="B28" s="216" t="s">
        <v>423</v>
      </c>
      <c r="C28" s="216" t="s">
        <v>429</v>
      </c>
      <c r="D28" s="216" t="s">
        <v>432</v>
      </c>
      <c r="E28" s="216" t="s">
        <v>431</v>
      </c>
      <c r="F28" s="216">
        <v>235.4</v>
      </c>
      <c r="G28" s="216" t="s">
        <v>331</v>
      </c>
      <c r="H28" s="216" t="s">
        <v>498</v>
      </c>
      <c r="I28" s="216" t="s">
        <v>393</v>
      </c>
      <c r="J28" s="216" t="s">
        <v>509</v>
      </c>
    </row>
    <row r="29" spans="1:10">
      <c r="A29" s="216">
        <v>2020</v>
      </c>
      <c r="B29" s="216" t="s">
        <v>423</v>
      </c>
      <c r="C29" s="216" t="s">
        <v>466</v>
      </c>
      <c r="D29" s="216" t="s">
        <v>508</v>
      </c>
      <c r="E29" s="216" t="s">
        <v>507</v>
      </c>
      <c r="F29" s="216">
        <v>5</v>
      </c>
      <c r="G29" s="216" t="s">
        <v>506</v>
      </c>
      <c r="H29" s="216" t="s">
        <v>498</v>
      </c>
      <c r="I29" s="216" t="s">
        <v>393</v>
      </c>
      <c r="J29" s="216" t="s">
        <v>505</v>
      </c>
    </row>
    <row r="30" spans="1:10">
      <c r="A30" s="216">
        <v>2020</v>
      </c>
      <c r="B30" s="216" t="s">
        <v>416</v>
      </c>
      <c r="C30" s="216" t="s">
        <v>415</v>
      </c>
      <c r="D30" s="216" t="s">
        <v>504</v>
      </c>
      <c r="E30" s="216" t="s">
        <v>503</v>
      </c>
      <c r="F30" s="216">
        <v>1</v>
      </c>
      <c r="G30" s="216" t="s">
        <v>476</v>
      </c>
      <c r="H30" s="216" t="s">
        <v>502</v>
      </c>
      <c r="I30" s="216" t="s">
        <v>501</v>
      </c>
      <c r="J30" s="216" t="s">
        <v>500</v>
      </c>
    </row>
    <row r="31" spans="1:10">
      <c r="A31" s="216">
        <v>2020</v>
      </c>
      <c r="B31" s="216" t="s">
        <v>408</v>
      </c>
      <c r="C31" s="216" t="s">
        <v>429</v>
      </c>
      <c r="D31" s="216" t="s">
        <v>450</v>
      </c>
      <c r="E31" s="216" t="s">
        <v>449</v>
      </c>
      <c r="F31" s="216">
        <v>2.46</v>
      </c>
      <c r="G31" s="216" t="s">
        <v>448</v>
      </c>
      <c r="H31" s="216" t="s">
        <v>498</v>
      </c>
      <c r="I31" s="216" t="s">
        <v>393</v>
      </c>
      <c r="J31" s="216" t="s">
        <v>499</v>
      </c>
    </row>
    <row r="32" spans="1:10">
      <c r="A32" s="216">
        <v>2020</v>
      </c>
      <c r="B32" s="216" t="s">
        <v>408</v>
      </c>
      <c r="C32" s="216" t="s">
        <v>429</v>
      </c>
      <c r="D32" s="216" t="s">
        <v>428</v>
      </c>
      <c r="E32" s="216" t="s">
        <v>427</v>
      </c>
      <c r="F32" s="216">
        <v>-150.30000000000001</v>
      </c>
      <c r="G32" s="216" t="s">
        <v>331</v>
      </c>
      <c r="H32" s="216" t="s">
        <v>498</v>
      </c>
      <c r="I32" s="216" t="s">
        <v>393</v>
      </c>
      <c r="J32" s="216" t="s">
        <v>497</v>
      </c>
    </row>
    <row r="33" spans="1:10">
      <c r="A33" s="216">
        <v>2020</v>
      </c>
      <c r="B33" s="216" t="s">
        <v>399</v>
      </c>
      <c r="C33" s="216" t="s">
        <v>398</v>
      </c>
      <c r="D33" s="216" t="s">
        <v>496</v>
      </c>
      <c r="E33" s="216" t="s">
        <v>495</v>
      </c>
      <c r="F33" s="216">
        <v>1</v>
      </c>
      <c r="G33" s="216" t="s">
        <v>470</v>
      </c>
      <c r="H33" s="216" t="s">
        <v>494</v>
      </c>
      <c r="I33" s="216" t="s">
        <v>493</v>
      </c>
      <c r="J33" s="216" t="s">
        <v>492</v>
      </c>
    </row>
    <row r="34" spans="1:10">
      <c r="A34" s="216">
        <v>2021</v>
      </c>
      <c r="B34" s="216" t="s">
        <v>423</v>
      </c>
      <c r="C34" s="216" t="s">
        <v>429</v>
      </c>
      <c r="D34" s="216" t="s">
        <v>432</v>
      </c>
      <c r="E34" s="216" t="s">
        <v>431</v>
      </c>
      <c r="F34" s="216">
        <v>377</v>
      </c>
      <c r="G34" s="216" t="s">
        <v>331</v>
      </c>
      <c r="H34" s="216" t="s">
        <v>484</v>
      </c>
      <c r="I34" s="216" t="s">
        <v>393</v>
      </c>
      <c r="J34" s="216" t="s">
        <v>491</v>
      </c>
    </row>
    <row r="35" spans="1:10">
      <c r="A35" s="216">
        <v>2021</v>
      </c>
      <c r="B35" s="216" t="s">
        <v>416</v>
      </c>
      <c r="C35" s="216" t="s">
        <v>415</v>
      </c>
      <c r="D35" s="216" t="s">
        <v>414</v>
      </c>
      <c r="E35" s="216" t="s">
        <v>490</v>
      </c>
      <c r="F35" s="216">
        <v>1</v>
      </c>
      <c r="G35" s="216" t="s">
        <v>476</v>
      </c>
      <c r="H35" s="216" t="s">
        <v>489</v>
      </c>
      <c r="I35" s="216" t="s">
        <v>488</v>
      </c>
      <c r="J35" s="216" t="s">
        <v>487</v>
      </c>
    </row>
    <row r="36" spans="1:10">
      <c r="A36" s="216">
        <v>2021</v>
      </c>
      <c r="B36" s="216" t="s">
        <v>408</v>
      </c>
      <c r="C36" s="216" t="s">
        <v>429</v>
      </c>
      <c r="D36" s="216" t="s">
        <v>450</v>
      </c>
      <c r="E36" s="216" t="s">
        <v>449</v>
      </c>
      <c r="F36" s="216">
        <v>3.58</v>
      </c>
      <c r="G36" s="216" t="s">
        <v>448</v>
      </c>
      <c r="H36" s="216" t="s">
        <v>484</v>
      </c>
      <c r="I36" s="216" t="s">
        <v>393</v>
      </c>
      <c r="J36" s="216" t="s">
        <v>486</v>
      </c>
    </row>
    <row r="37" spans="1:10">
      <c r="A37" s="216">
        <v>2021</v>
      </c>
      <c r="B37" s="216" t="s">
        <v>399</v>
      </c>
      <c r="C37" s="216" t="s">
        <v>337</v>
      </c>
      <c r="D37" s="216" t="s">
        <v>402</v>
      </c>
      <c r="E37" s="216" t="s">
        <v>485</v>
      </c>
      <c r="F37" s="216">
        <v>1</v>
      </c>
      <c r="G37" s="216" t="s">
        <v>470</v>
      </c>
      <c r="H37" s="216" t="s">
        <v>484</v>
      </c>
      <c r="I37" s="216" t="s">
        <v>393</v>
      </c>
      <c r="J37" s="216" t="s">
        <v>483</v>
      </c>
    </row>
    <row r="38" spans="1:10">
      <c r="A38" s="216">
        <v>2022</v>
      </c>
      <c r="B38" s="216" t="s">
        <v>423</v>
      </c>
      <c r="C38" s="216" t="s">
        <v>429</v>
      </c>
      <c r="D38" s="216" t="s">
        <v>428</v>
      </c>
      <c r="E38" s="216" t="s">
        <v>427</v>
      </c>
      <c r="F38" s="216">
        <v>602.9</v>
      </c>
      <c r="G38" s="216" t="s">
        <v>331</v>
      </c>
      <c r="H38" s="216" t="s">
        <v>473</v>
      </c>
      <c r="I38" s="216" t="s">
        <v>472</v>
      </c>
      <c r="J38" s="216" t="s">
        <v>482</v>
      </c>
    </row>
    <row r="39" spans="1:10">
      <c r="A39" s="216">
        <v>2022</v>
      </c>
      <c r="B39" s="216" t="s">
        <v>416</v>
      </c>
      <c r="C39" s="216" t="s">
        <v>481</v>
      </c>
      <c r="D39" s="216" t="s">
        <v>421</v>
      </c>
      <c r="E39" s="216" t="s">
        <v>480</v>
      </c>
      <c r="F39" s="216">
        <v>1</v>
      </c>
      <c r="G39" s="216" t="s">
        <v>476</v>
      </c>
      <c r="H39" s="216" t="s">
        <v>479</v>
      </c>
      <c r="I39" s="216" t="s">
        <v>393</v>
      </c>
      <c r="J39" s="216" t="s">
        <v>478</v>
      </c>
    </row>
    <row r="40" spans="1:10">
      <c r="A40" s="216">
        <v>2022</v>
      </c>
      <c r="B40" s="216" t="s">
        <v>416</v>
      </c>
      <c r="C40" s="216" t="s">
        <v>415</v>
      </c>
      <c r="D40" s="216" t="s">
        <v>414</v>
      </c>
      <c r="E40" s="216" t="s">
        <v>477</v>
      </c>
      <c r="F40" s="216">
        <v>1</v>
      </c>
      <c r="G40" s="216" t="s">
        <v>476</v>
      </c>
      <c r="H40" s="216" t="s">
        <v>475</v>
      </c>
      <c r="I40" s="216" t="s">
        <v>393</v>
      </c>
      <c r="J40" s="216" t="s">
        <v>474</v>
      </c>
    </row>
    <row r="41" spans="1:10">
      <c r="A41" s="216">
        <v>2022</v>
      </c>
      <c r="B41" s="216" t="s">
        <v>408</v>
      </c>
      <c r="C41" s="216" t="s">
        <v>429</v>
      </c>
      <c r="D41" s="216" t="s">
        <v>450</v>
      </c>
      <c r="E41" s="216" t="s">
        <v>449</v>
      </c>
      <c r="F41" s="216">
        <v>2.8</v>
      </c>
      <c r="G41" s="216" t="s">
        <v>448</v>
      </c>
      <c r="H41" s="216" t="s">
        <v>473</v>
      </c>
      <c r="I41" s="216" t="s">
        <v>472</v>
      </c>
      <c r="J41" s="216" t="s">
        <v>460</v>
      </c>
    </row>
    <row r="42" spans="1:10">
      <c r="A42" s="216">
        <v>2022</v>
      </c>
      <c r="B42" s="216" t="s">
        <v>399</v>
      </c>
      <c r="C42" s="216" t="s">
        <v>398</v>
      </c>
      <c r="D42" s="216" t="s">
        <v>402</v>
      </c>
      <c r="E42" s="216" t="s">
        <v>471</v>
      </c>
      <c r="F42" s="216">
        <v>1</v>
      </c>
      <c r="G42" s="216" t="s">
        <v>470</v>
      </c>
      <c r="H42" s="216" t="s">
        <v>469</v>
      </c>
      <c r="I42" s="216" t="s">
        <v>468</v>
      </c>
      <c r="J42" s="216" t="s">
        <v>467</v>
      </c>
    </row>
    <row r="43" spans="1:10">
      <c r="A43" s="216">
        <v>2023</v>
      </c>
      <c r="B43" s="216" t="s">
        <v>423</v>
      </c>
      <c r="C43" s="216" t="s">
        <v>429</v>
      </c>
      <c r="D43" s="216" t="s">
        <v>432</v>
      </c>
      <c r="E43" s="216" t="s">
        <v>431</v>
      </c>
      <c r="F43" s="216">
        <v>219.8</v>
      </c>
      <c r="G43" s="216" t="s">
        <v>331</v>
      </c>
      <c r="H43" s="216" t="s">
        <v>457</v>
      </c>
      <c r="I43" s="216" t="s">
        <v>393</v>
      </c>
      <c r="J43" s="216" t="s">
        <v>430</v>
      </c>
    </row>
    <row r="44" spans="1:10">
      <c r="A44" s="216">
        <v>2023</v>
      </c>
      <c r="B44" s="216" t="s">
        <v>416</v>
      </c>
      <c r="C44" s="216" t="s">
        <v>466</v>
      </c>
      <c r="D44" s="216" t="s">
        <v>465</v>
      </c>
      <c r="E44" s="216" t="s">
        <v>464</v>
      </c>
      <c r="F44" s="216">
        <v>106</v>
      </c>
      <c r="G44" s="216" t="s">
        <v>352</v>
      </c>
      <c r="H44" s="216" t="s">
        <v>463</v>
      </c>
      <c r="I44" s="216" t="s">
        <v>462</v>
      </c>
      <c r="J44" s="216" t="s">
        <v>461</v>
      </c>
    </row>
    <row r="45" spans="1:10">
      <c r="A45" s="216">
        <v>2023</v>
      </c>
      <c r="B45" s="216" t="s">
        <v>408</v>
      </c>
      <c r="C45" s="216" t="s">
        <v>429</v>
      </c>
      <c r="D45" s="216" t="s">
        <v>450</v>
      </c>
      <c r="E45" s="216" t="s">
        <v>449</v>
      </c>
      <c r="F45" s="216">
        <v>2.0499999999999998</v>
      </c>
      <c r="G45" s="216" t="s">
        <v>448</v>
      </c>
      <c r="H45" s="216" t="s">
        <v>457</v>
      </c>
      <c r="I45" s="216" t="s">
        <v>393</v>
      </c>
      <c r="J45" s="216" t="s">
        <v>460</v>
      </c>
    </row>
    <row r="46" spans="1:10">
      <c r="A46" s="216">
        <v>2023</v>
      </c>
      <c r="B46" s="216" t="s">
        <v>408</v>
      </c>
      <c r="C46" s="216" t="s">
        <v>422</v>
      </c>
      <c r="D46" s="216" t="s">
        <v>19</v>
      </c>
      <c r="E46" s="216" t="s">
        <v>459</v>
      </c>
      <c r="F46" s="216">
        <v>10</v>
      </c>
      <c r="G46" s="216" t="s">
        <v>458</v>
      </c>
      <c r="H46" s="216" t="s">
        <v>457</v>
      </c>
      <c r="I46" s="216" t="s">
        <v>393</v>
      </c>
      <c r="J46" s="216" t="s">
        <v>456</v>
      </c>
    </row>
    <row r="47" spans="1:10">
      <c r="A47" s="216">
        <v>2023</v>
      </c>
      <c r="B47" s="216" t="s">
        <v>399</v>
      </c>
      <c r="C47" s="216" t="s">
        <v>337</v>
      </c>
      <c r="D47" s="216" t="s">
        <v>455</v>
      </c>
      <c r="E47" s="216" t="s">
        <v>454</v>
      </c>
      <c r="F47" s="216">
        <v>1</v>
      </c>
      <c r="G47" s="216" t="s">
        <v>395</v>
      </c>
      <c r="H47" s="216" t="s">
        <v>453</v>
      </c>
      <c r="I47" s="216" t="s">
        <v>452</v>
      </c>
      <c r="J47" s="216" t="s">
        <v>451</v>
      </c>
    </row>
    <row r="48" spans="1:10">
      <c r="A48" s="216">
        <v>2024</v>
      </c>
      <c r="B48" s="216" t="s">
        <v>423</v>
      </c>
      <c r="C48" s="216" t="s">
        <v>429</v>
      </c>
      <c r="D48" s="216" t="s">
        <v>450</v>
      </c>
      <c r="E48" s="216" t="s">
        <v>449</v>
      </c>
      <c r="F48" s="216">
        <v>0.3</v>
      </c>
      <c r="G48" s="216" t="s">
        <v>448</v>
      </c>
      <c r="H48" s="216" t="s">
        <v>440</v>
      </c>
      <c r="I48" s="216" t="s">
        <v>393</v>
      </c>
      <c r="J48" s="216" t="s">
        <v>447</v>
      </c>
    </row>
    <row r="49" spans="1:10">
      <c r="A49" s="216">
        <v>2024</v>
      </c>
      <c r="B49" s="216" t="s">
        <v>423</v>
      </c>
      <c r="C49" s="216" t="s">
        <v>429</v>
      </c>
      <c r="D49" s="216" t="s">
        <v>432</v>
      </c>
      <c r="E49" s="216" t="s">
        <v>431</v>
      </c>
      <c r="F49" s="216">
        <v>478.4</v>
      </c>
      <c r="G49" s="216" t="s">
        <v>331</v>
      </c>
      <c r="H49" s="216" t="s">
        <v>440</v>
      </c>
      <c r="I49" s="216" t="s">
        <v>393</v>
      </c>
      <c r="J49" s="216" t="s">
        <v>446</v>
      </c>
    </row>
    <row r="50" spans="1:10">
      <c r="A50" s="216">
        <v>2024</v>
      </c>
      <c r="B50" s="216" t="s">
        <v>423</v>
      </c>
      <c r="C50" s="216" t="s">
        <v>429</v>
      </c>
      <c r="D50" s="216" t="s">
        <v>428</v>
      </c>
      <c r="E50" s="216" t="s">
        <v>427</v>
      </c>
      <c r="F50" s="216">
        <v>416.3</v>
      </c>
      <c r="G50" s="216" t="s">
        <v>331</v>
      </c>
      <c r="H50" s="216" t="s">
        <v>440</v>
      </c>
      <c r="I50" s="216" t="s">
        <v>393</v>
      </c>
      <c r="J50" s="216" t="s">
        <v>445</v>
      </c>
    </row>
    <row r="51" spans="1:10">
      <c r="A51" s="216">
        <v>2024</v>
      </c>
      <c r="B51" s="216" t="s">
        <v>416</v>
      </c>
      <c r="C51" s="216" t="s">
        <v>415</v>
      </c>
      <c r="D51" s="216" t="s">
        <v>444</v>
      </c>
      <c r="E51" s="216" t="s">
        <v>443</v>
      </c>
      <c r="F51" s="216">
        <v>11</v>
      </c>
      <c r="G51" s="216" t="s">
        <v>442</v>
      </c>
      <c r="H51" s="216" t="s">
        <v>440</v>
      </c>
      <c r="I51" s="216" t="s">
        <v>393</v>
      </c>
      <c r="J51" s="216" t="s">
        <v>441</v>
      </c>
    </row>
    <row r="52" spans="1:10">
      <c r="A52" s="216">
        <v>2024</v>
      </c>
      <c r="B52" s="216" t="s">
        <v>408</v>
      </c>
      <c r="C52" s="216" t="s">
        <v>407</v>
      </c>
      <c r="D52" s="216" t="s">
        <v>406</v>
      </c>
      <c r="E52" s="216" t="s">
        <v>405</v>
      </c>
      <c r="F52" s="216">
        <v>1</v>
      </c>
      <c r="G52" s="216" t="s">
        <v>404</v>
      </c>
      <c r="H52" s="216" t="s">
        <v>440</v>
      </c>
      <c r="I52" s="216" t="s">
        <v>393</v>
      </c>
      <c r="J52" s="216" t="s">
        <v>439</v>
      </c>
    </row>
    <row r="53" spans="1:10">
      <c r="A53" s="216">
        <v>2024</v>
      </c>
      <c r="B53" s="216" t="s">
        <v>399</v>
      </c>
      <c r="C53" s="216" t="s">
        <v>438</v>
      </c>
      <c r="D53" s="216" t="s">
        <v>437</v>
      </c>
      <c r="E53" s="216" t="s">
        <v>436</v>
      </c>
      <c r="F53" s="216">
        <v>1</v>
      </c>
      <c r="G53" s="216" t="s">
        <v>395</v>
      </c>
      <c r="H53" s="216" t="s">
        <v>435</v>
      </c>
      <c r="I53" s="216" t="s">
        <v>434</v>
      </c>
      <c r="J53" s="216" t="s">
        <v>433</v>
      </c>
    </row>
    <row r="54" spans="1:10">
      <c r="A54" s="216">
        <v>2025</v>
      </c>
      <c r="B54" s="216" t="s">
        <v>423</v>
      </c>
      <c r="C54" s="216" t="s">
        <v>429</v>
      </c>
      <c r="D54" s="216" t="s">
        <v>432</v>
      </c>
      <c r="E54" s="216" t="s">
        <v>431</v>
      </c>
      <c r="F54" s="216">
        <v>529.79999999999995</v>
      </c>
      <c r="G54" s="216" t="s">
        <v>331</v>
      </c>
      <c r="H54" s="216" t="s">
        <v>411</v>
      </c>
      <c r="I54" s="216" t="s">
        <v>410</v>
      </c>
      <c r="J54" s="216" t="s">
        <v>430</v>
      </c>
    </row>
    <row r="55" spans="1:10">
      <c r="A55" s="216">
        <v>2025</v>
      </c>
      <c r="B55" s="216" t="s">
        <v>423</v>
      </c>
      <c r="C55" s="216" t="s">
        <v>429</v>
      </c>
      <c r="D55" s="216" t="s">
        <v>428</v>
      </c>
      <c r="E55" s="216" t="s">
        <v>427</v>
      </c>
      <c r="F55" s="216">
        <v>782.1</v>
      </c>
      <c r="G55" s="216" t="s">
        <v>331</v>
      </c>
      <c r="H55" s="216" t="s">
        <v>411</v>
      </c>
      <c r="I55" s="216" t="s">
        <v>410</v>
      </c>
      <c r="J55" s="216" t="s">
        <v>426</v>
      </c>
    </row>
    <row r="56" spans="1:10">
      <c r="A56" s="216">
        <v>2025</v>
      </c>
      <c r="B56" s="216" t="s">
        <v>423</v>
      </c>
      <c r="C56" s="216" t="s">
        <v>422</v>
      </c>
      <c r="D56" s="216" t="s">
        <v>421</v>
      </c>
      <c r="E56" s="216" t="s">
        <v>425</v>
      </c>
      <c r="F56" s="216">
        <v>8851709</v>
      </c>
      <c r="G56" s="216" t="s">
        <v>10</v>
      </c>
      <c r="H56" s="216" t="s">
        <v>394</v>
      </c>
      <c r="I56" s="216" t="s">
        <v>393</v>
      </c>
      <c r="J56" s="216" t="s">
        <v>424</v>
      </c>
    </row>
    <row r="57" spans="1:10">
      <c r="A57" s="216">
        <v>2025</v>
      </c>
      <c r="B57" s="216" t="s">
        <v>423</v>
      </c>
      <c r="C57" s="216" t="s">
        <v>422</v>
      </c>
      <c r="D57" s="216" t="s">
        <v>421</v>
      </c>
      <c r="E57" s="216" t="s">
        <v>420</v>
      </c>
      <c r="F57" s="216">
        <v>95.6</v>
      </c>
      <c r="G57" s="216" t="s">
        <v>352</v>
      </c>
      <c r="H57" s="216" t="s">
        <v>394</v>
      </c>
      <c r="I57" s="216" t="s">
        <v>393</v>
      </c>
      <c r="J57" s="216" t="s">
        <v>419</v>
      </c>
    </row>
    <row r="58" spans="1:10">
      <c r="A58" s="216">
        <v>2025</v>
      </c>
      <c r="B58" s="216" t="s">
        <v>416</v>
      </c>
      <c r="C58" s="216" t="s">
        <v>415</v>
      </c>
      <c r="D58" s="216" t="s">
        <v>414</v>
      </c>
      <c r="E58" s="216" t="s">
        <v>418</v>
      </c>
      <c r="F58" s="216">
        <v>99</v>
      </c>
      <c r="G58" s="216" t="s">
        <v>352</v>
      </c>
      <c r="H58" s="216" t="s">
        <v>394</v>
      </c>
      <c r="I58" s="216" t="s">
        <v>393</v>
      </c>
      <c r="J58" s="216" t="s">
        <v>417</v>
      </c>
    </row>
    <row r="59" spans="1:10">
      <c r="A59" s="216">
        <v>2025</v>
      </c>
      <c r="B59" s="216" t="s">
        <v>416</v>
      </c>
      <c r="C59" s="216" t="s">
        <v>415</v>
      </c>
      <c r="D59" s="216" t="s">
        <v>414</v>
      </c>
      <c r="E59" s="216" t="s">
        <v>413</v>
      </c>
      <c r="F59" s="216">
        <v>2000</v>
      </c>
      <c r="G59" s="216" t="s">
        <v>412</v>
      </c>
      <c r="H59" s="216" t="s">
        <v>411</v>
      </c>
      <c r="I59" s="216" t="s">
        <v>410</v>
      </c>
      <c r="J59" s="216" t="s">
        <v>409</v>
      </c>
    </row>
    <row r="60" spans="1:10">
      <c r="A60" s="216">
        <v>2025</v>
      </c>
      <c r="B60" s="216" t="s">
        <v>408</v>
      </c>
      <c r="C60" s="216" t="s">
        <v>407</v>
      </c>
      <c r="D60" s="216" t="s">
        <v>406</v>
      </c>
      <c r="E60" s="216" t="s">
        <v>405</v>
      </c>
      <c r="F60" s="216">
        <v>1</v>
      </c>
      <c r="G60" s="216" t="s">
        <v>404</v>
      </c>
      <c r="H60" s="216" t="s">
        <v>394</v>
      </c>
      <c r="I60" s="216" t="s">
        <v>393</v>
      </c>
      <c r="J60" s="216" t="s">
        <v>403</v>
      </c>
    </row>
    <row r="61" spans="1:10">
      <c r="A61" s="216">
        <v>2025</v>
      </c>
      <c r="B61" s="216" t="s">
        <v>399</v>
      </c>
      <c r="C61" s="216" t="s">
        <v>398</v>
      </c>
      <c r="D61" s="216" t="s">
        <v>402</v>
      </c>
      <c r="E61" s="216" t="s">
        <v>401</v>
      </c>
      <c r="F61" s="216">
        <v>1</v>
      </c>
      <c r="G61" s="216" t="s">
        <v>395</v>
      </c>
      <c r="H61" s="216" t="s">
        <v>394</v>
      </c>
      <c r="I61" s="216" t="s">
        <v>393</v>
      </c>
      <c r="J61" s="216" t="s">
        <v>400</v>
      </c>
    </row>
    <row r="62" spans="1:10">
      <c r="A62" s="216">
        <v>2025</v>
      </c>
      <c r="B62" s="216" t="s">
        <v>399</v>
      </c>
      <c r="C62" s="216" t="s">
        <v>398</v>
      </c>
      <c r="D62" s="216" t="s">
        <v>397</v>
      </c>
      <c r="E62" s="216" t="s">
        <v>396</v>
      </c>
      <c r="F62" s="216">
        <v>1</v>
      </c>
      <c r="G62" s="216" t="s">
        <v>395</v>
      </c>
      <c r="H62" s="216" t="s">
        <v>394</v>
      </c>
      <c r="I62" s="216" t="s">
        <v>393</v>
      </c>
      <c r="J62" s="216" t="s">
        <v>392</v>
      </c>
    </row>
  </sheetData>
  <autoFilter ref="A1:J62" xr:uid="{00000000-0009-0000-0000-000000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8B03-0C70-4C65-BF04-19BCC09C3AE1}">
  <dimension ref="A1:B15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7265625" defaultRowHeight="14.5"/>
  <cols>
    <col min="1" max="1" width="24" style="216" customWidth="1"/>
    <col min="2" max="2" width="110" style="216" customWidth="1"/>
    <col min="3" max="16384" width="8.7265625" style="216"/>
  </cols>
  <sheetData>
    <row r="1" spans="1:2">
      <c r="A1" s="216" t="s">
        <v>602</v>
      </c>
      <c r="B1" s="216" t="s">
        <v>601</v>
      </c>
    </row>
    <row r="2" spans="1:2">
      <c r="A2" s="216" t="s">
        <v>600</v>
      </c>
      <c r="B2" s="216" t="s">
        <v>599</v>
      </c>
    </row>
    <row r="3" spans="1:2">
      <c r="A3" s="216" t="s">
        <v>598</v>
      </c>
      <c r="B3" s="216" t="s">
        <v>597</v>
      </c>
    </row>
    <row r="4" spans="1:2">
      <c r="A4" s="216" t="s">
        <v>596</v>
      </c>
      <c r="B4" s="216" t="s">
        <v>595</v>
      </c>
    </row>
    <row r="5" spans="1:2">
      <c r="A5" s="216" t="s">
        <v>423</v>
      </c>
      <c r="B5" s="216" t="s">
        <v>594</v>
      </c>
    </row>
    <row r="6" spans="1:2">
      <c r="A6" s="216" t="s">
        <v>416</v>
      </c>
      <c r="B6" s="216" t="s">
        <v>593</v>
      </c>
    </row>
    <row r="7" spans="1:2">
      <c r="A7" s="216" t="s">
        <v>408</v>
      </c>
      <c r="B7" s="216" t="s">
        <v>592</v>
      </c>
    </row>
    <row r="8" spans="1:2">
      <c r="A8" s="216" t="s">
        <v>399</v>
      </c>
      <c r="B8" s="216" t="s">
        <v>591</v>
      </c>
    </row>
    <row r="9" spans="1:2">
      <c r="A9" s="216" t="s">
        <v>590</v>
      </c>
      <c r="B9" s="216" t="s">
        <v>589</v>
      </c>
    </row>
    <row r="10" spans="1:2">
      <c r="A10" s="216" t="s">
        <v>588</v>
      </c>
      <c r="B10" s="216" t="s">
        <v>587</v>
      </c>
    </row>
    <row r="11" spans="1:2">
      <c r="A11" s="216" t="s">
        <v>586</v>
      </c>
      <c r="B11" s="216" t="s">
        <v>585</v>
      </c>
    </row>
    <row r="12" spans="1:2">
      <c r="A12" s="216" t="s">
        <v>584</v>
      </c>
      <c r="B12" s="216" t="s">
        <v>583</v>
      </c>
    </row>
    <row r="13" spans="1:2">
      <c r="A13" s="216" t="s">
        <v>582</v>
      </c>
      <c r="B13" s="216" t="s">
        <v>581</v>
      </c>
    </row>
    <row r="14" spans="1:2">
      <c r="A14" s="216" t="s">
        <v>580</v>
      </c>
      <c r="B14" s="216" t="s">
        <v>579</v>
      </c>
    </row>
    <row r="15" spans="1:2">
      <c r="A15" s="216" t="s">
        <v>578</v>
      </c>
      <c r="B15" s="216" t="s">
        <v>577</v>
      </c>
    </row>
  </sheetData>
  <autoFilter ref="A1:B10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2E4BE199-90D0-42C4-A337-640386013570}">
  <ds:schemaRefs/>
</ds:datastoreItem>
</file>

<file path=customXml/itemProps2.xml><?xml version="1.0" encoding="utf-8"?>
<ds:datastoreItem xmlns:ds="http://schemas.openxmlformats.org/officeDocument/2006/customXml" ds:itemID="{C1DBBE02-D620-4308-8F23-CB6FCB298E9B}">
  <ds:schemaRefs/>
</ds:datastoreItem>
</file>

<file path=customXml/itemProps3.xml><?xml version="1.0" encoding="utf-8"?>
<ds:datastoreItem xmlns:ds="http://schemas.openxmlformats.org/officeDocument/2006/customXml" ds:itemID="{1E99D72A-F998-49CE-9610-D32AEBCA71CA}">
  <ds:schemaRefs/>
</ds:datastoreItem>
</file>

<file path=customXml/itemProps4.xml><?xml version="1.0" encoding="utf-8"?>
<ds:datastoreItem xmlns:ds="http://schemas.openxmlformats.org/officeDocument/2006/customXml" ds:itemID="{AB5DCBEB-B59F-44EE-BF52-D9F6F192FEA5}">
  <ds:schemaRefs/>
</ds:datastoreItem>
</file>

<file path=customXml/itemProps5.xml><?xml version="1.0" encoding="utf-8"?>
<ds:datastoreItem xmlns:ds="http://schemas.openxmlformats.org/officeDocument/2006/customXml" ds:itemID="{545C7204-469B-45A3-86E6-ABCAB231DE38}">
  <ds:schemaRefs/>
</ds:datastoreItem>
</file>

<file path=customXml/itemProps6.xml><?xml version="1.0" encoding="utf-8"?>
<ds:datastoreItem xmlns:ds="http://schemas.openxmlformats.org/officeDocument/2006/customXml" ds:itemID="{D9CDC8A2-C4B1-4234-A85F-4D23AF81175B}">
  <ds:schemaRefs/>
</ds:datastoreItem>
</file>

<file path=customXml/itemProps7.xml><?xml version="1.0" encoding="utf-8"?>
<ds:datastoreItem xmlns:ds="http://schemas.openxmlformats.org/officeDocument/2006/customXml" ds:itemID="{1C9B6B0F-1225-4F42-A67C-48C94B1C6E1C}">
  <ds:schemaRefs/>
</ds:datastoreItem>
</file>

<file path=customXml/itemProps8.xml><?xml version="1.0" encoding="utf-8"?>
<ds:datastoreItem xmlns:ds="http://schemas.openxmlformats.org/officeDocument/2006/customXml" ds:itemID="{2EE8ADF2-2F7E-4B68-8DF9-9A03E61A5F98}">
  <ds:schemaRefs/>
</ds:datastoreItem>
</file>

<file path=customXml/itemProps9.xml><?xml version="1.0" encoding="utf-8"?>
<ds:datastoreItem xmlns:ds="http://schemas.openxmlformats.org/officeDocument/2006/customXml" ds:itemID="{4AEF9461-E936-401C-B2DE-52A65FC93689}">
  <ds:schemaRefs/>
</ds:datastoreItem>
</file>

<file path=customXml/itemProps10.xml><?xml version="1.0" encoding="utf-8"?>
<ds:datastoreItem xmlns:ds="http://schemas.openxmlformats.org/officeDocument/2006/customXml" ds:itemID="{4EC216F5-5880-43D3-AE35-0249EA7535FD}">
  <ds:schemaRefs/>
</ds:datastoreItem>
</file>

<file path=customXml/itemProps11.xml><?xml version="1.0" encoding="utf-8"?>
<ds:datastoreItem xmlns:ds="http://schemas.openxmlformats.org/officeDocument/2006/customXml" ds:itemID="{F13CFB50-7939-4A77-9EDB-587D7234CE04}">
  <ds:schemaRefs/>
</ds:datastoreItem>
</file>

<file path=customXml/itemProps12.xml><?xml version="1.0" encoding="utf-8"?>
<ds:datastoreItem xmlns:ds="http://schemas.openxmlformats.org/officeDocument/2006/customXml" ds:itemID="{DB89EB38-0BC3-44D4-8EDE-A43616366D84}">
  <ds:schemaRefs/>
</ds:datastoreItem>
</file>

<file path=customXml/itemProps13.xml><?xml version="1.0" encoding="utf-8"?>
<ds:datastoreItem xmlns:ds="http://schemas.openxmlformats.org/officeDocument/2006/customXml" ds:itemID="{ED0EB8AE-67E0-417C-8A20-F3CBA125C923}">
  <ds:schemaRefs/>
</ds:datastoreItem>
</file>

<file path=customXml/itemProps14.xml><?xml version="1.0" encoding="utf-8"?>
<ds:datastoreItem xmlns:ds="http://schemas.openxmlformats.org/officeDocument/2006/customXml" ds:itemID="{23FF3B19-DE1F-4CED-AF9A-91733B3B62D4}">
  <ds:schemaRefs/>
</ds:datastoreItem>
</file>

<file path=customXml/itemProps15.xml><?xml version="1.0" encoding="utf-8"?>
<ds:datastoreItem xmlns:ds="http://schemas.openxmlformats.org/officeDocument/2006/customXml" ds:itemID="{72810D7C-F2BB-4AFC-B460-A927D9B69A80}">
  <ds:schemaRefs/>
</ds:datastoreItem>
</file>

<file path=customXml/itemProps16.xml><?xml version="1.0" encoding="utf-8"?>
<ds:datastoreItem xmlns:ds="http://schemas.openxmlformats.org/officeDocument/2006/customXml" ds:itemID="{1F883AA5-D613-4820-B5C6-9D842279AA9D}">
  <ds:schemaRefs/>
</ds:datastoreItem>
</file>

<file path=customXml/itemProps17.xml><?xml version="1.0" encoding="utf-8"?>
<ds:datastoreItem xmlns:ds="http://schemas.openxmlformats.org/officeDocument/2006/customXml" ds:itemID="{7AD15453-4A89-47A9-AAA2-EE21DB2DAB90}">
  <ds:schemaRefs/>
</ds:datastoreItem>
</file>

<file path=customXml/itemProps18.xml><?xml version="1.0" encoding="utf-8"?>
<ds:datastoreItem xmlns:ds="http://schemas.openxmlformats.org/officeDocument/2006/customXml" ds:itemID="{C0F90AF8-6C62-4A9A-84F7-C60B38448593}">
  <ds:schemaRefs/>
</ds:datastoreItem>
</file>

<file path=customXml/itemProps19.xml><?xml version="1.0" encoding="utf-8"?>
<ds:datastoreItem xmlns:ds="http://schemas.openxmlformats.org/officeDocument/2006/customXml" ds:itemID="{C4072BBA-2224-472E-8876-A8763D287721}">
  <ds:schemaRefs/>
</ds:datastoreItem>
</file>

<file path=customXml/itemProps20.xml><?xml version="1.0" encoding="utf-8"?>
<ds:datastoreItem xmlns:ds="http://schemas.openxmlformats.org/officeDocument/2006/customXml" ds:itemID="{E254157F-002E-4A82-9533-3F66679F9796}">
  <ds:schemaRefs/>
</ds:datastoreItem>
</file>

<file path=customXml/itemProps21.xml><?xml version="1.0" encoding="utf-8"?>
<ds:datastoreItem xmlns:ds="http://schemas.openxmlformats.org/officeDocument/2006/customXml" ds:itemID="{411D85CB-7554-48B1-8B22-1E087E9F1822}">
  <ds:schemaRefs/>
</ds:datastoreItem>
</file>

<file path=customXml/itemProps22.xml><?xml version="1.0" encoding="utf-8"?>
<ds:datastoreItem xmlns:ds="http://schemas.openxmlformats.org/officeDocument/2006/customXml" ds:itemID="{2DA30505-A30E-4716-BE52-C746524B558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CARATULA</vt:lpstr>
      <vt:lpstr>Consultar</vt:lpstr>
      <vt:lpstr>DATOS CENTRALES</vt:lpstr>
      <vt:lpstr>DB_Ventas</vt:lpstr>
      <vt:lpstr>Consolidados x MINERA</vt:lpstr>
      <vt:lpstr>TABLA DINAMICA METALES</vt:lpstr>
      <vt:lpstr>Consolidado x metales</vt:lpstr>
      <vt:lpstr>ESCENARIO DE ORO</vt:lpstr>
      <vt:lpstr>Resumen del escenario</vt:lpstr>
      <vt:lpstr>Tabla dinámica del escenario</vt:lpstr>
      <vt:lpstr>ANALISIS CVU</vt:lpstr>
      <vt:lpstr>PUNTO DE EQUILIBRIO</vt:lpstr>
      <vt:lpstr>BD PESTEL</vt:lpstr>
      <vt:lpstr>PRM_Maestro</vt:lpstr>
      <vt:lpstr>BCG_Historica</vt:lpstr>
      <vt:lpstr>Parametros_BCG</vt:lpstr>
      <vt:lpstr>TCM_Maestro</vt:lpstr>
      <vt:lpstr>Base_FODA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Débora Gerónimo</cp:lastModifiedBy>
  <dcterms:created xsi:type="dcterms:W3CDTF">2026-09-08T04:50:47Z</dcterms:created>
  <dcterms:modified xsi:type="dcterms:W3CDTF">2026-10-19T03:34:36Z</dcterms:modified>
</cp:coreProperties>
</file>